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annis/Downloads/"/>
    </mc:Choice>
  </mc:AlternateContent>
  <xr:revisionPtr revIDLastSave="0" documentId="13_ncr:1_{2FA37E5E-8645-5349-90BE-1FEFD10AE82F}" xr6:coauthVersionLast="46" xr6:coauthVersionMax="46" xr10:uidLastSave="{00000000-0000-0000-0000-000000000000}"/>
  <bookViews>
    <workbookView xWindow="0" yWindow="500" windowWidth="35840" windowHeight="19640" xr2:uid="{00000000-000D-0000-FFFF-FFFF00000000}"/>
  </bookViews>
  <sheets>
    <sheet name="PsycInfo2" sheetId="1" r:id="rId1"/>
    <sheet name="Exclusion" sheetId="2" r:id="rId2"/>
  </sheets>
  <definedNames>
    <definedName name="_xlnm._FilterDatabase" localSheetId="0" hidden="1">PsycInfo2!$A$1:$AA$1623</definedName>
    <definedName name="IntegrationReviewEmpirical2021_02_03" localSheetId="0">PsycInfo2!$E$1:$Y$1146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3" i="1" l="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2" i="1"/>
  <c r="M2" i="1"/>
  <c r="N2" i="1"/>
  <c r="M3" i="1"/>
  <c r="N3" i="1"/>
  <c r="M4" i="1"/>
  <c r="N4" i="1"/>
  <c r="M5" i="1"/>
  <c r="N5" i="1"/>
  <c r="M6" i="1"/>
  <c r="N6" i="1"/>
  <c r="M7" i="1"/>
  <c r="N7" i="1"/>
  <c r="M8" i="1"/>
  <c r="L8" i="1"/>
  <c r="N8" i="1"/>
  <c r="M9" i="1"/>
  <c r="N9" i="1"/>
  <c r="M10" i="1"/>
  <c r="N10" i="1"/>
  <c r="M11" i="1"/>
  <c r="N11" i="1"/>
  <c r="M12" i="1"/>
  <c r="L12" i="1"/>
  <c r="N12" i="1"/>
  <c r="M13" i="1"/>
  <c r="N13" i="1"/>
  <c r="M14" i="1"/>
  <c r="N14" i="1"/>
  <c r="M15" i="1"/>
  <c r="N15" i="1"/>
  <c r="M16" i="1"/>
  <c r="N16" i="1"/>
  <c r="M17" i="1"/>
  <c r="N17" i="1"/>
  <c r="M18" i="1"/>
  <c r="N18" i="1"/>
  <c r="M19" i="1"/>
  <c r="N19" i="1"/>
  <c r="M20" i="1"/>
  <c r="N20" i="1"/>
  <c r="M21" i="1"/>
  <c r="N21" i="1"/>
  <c r="M22" i="1"/>
  <c r="N22" i="1"/>
  <c r="M23" i="1"/>
  <c r="N23" i="1"/>
  <c r="M24" i="1"/>
  <c r="N24" i="1"/>
  <c r="M25" i="1"/>
  <c r="N25" i="1"/>
  <c r="M26" i="1"/>
  <c r="N26" i="1"/>
  <c r="M27" i="1"/>
  <c r="N27" i="1"/>
  <c r="M28" i="1"/>
  <c r="N28" i="1"/>
  <c r="M29" i="1"/>
  <c r="N29" i="1"/>
  <c r="M30" i="1"/>
  <c r="N30" i="1"/>
  <c r="M31" i="1"/>
  <c r="N31" i="1"/>
  <c r="M32" i="1"/>
  <c r="N32" i="1"/>
  <c r="M33" i="1"/>
  <c r="N33" i="1"/>
  <c r="M34" i="1"/>
  <c r="N34" i="1"/>
  <c r="M35" i="1"/>
  <c r="L35" i="1"/>
  <c r="N35" i="1"/>
  <c r="M36" i="1"/>
  <c r="N36" i="1"/>
  <c r="M37" i="1"/>
  <c r="N37" i="1"/>
  <c r="M38" i="1"/>
  <c r="N38" i="1"/>
  <c r="M39" i="1"/>
  <c r="N39" i="1"/>
  <c r="M40" i="1"/>
  <c r="N40" i="1"/>
  <c r="M41" i="1"/>
  <c r="N41" i="1"/>
  <c r="M42" i="1"/>
  <c r="N42" i="1"/>
  <c r="M43" i="1"/>
  <c r="N43" i="1"/>
  <c r="M44" i="1"/>
  <c r="N44" i="1"/>
  <c r="M45" i="1"/>
  <c r="N45" i="1"/>
  <c r="M46" i="1"/>
  <c r="N46" i="1"/>
  <c r="M47" i="1"/>
  <c r="L47" i="1"/>
  <c r="N47" i="1"/>
  <c r="M48" i="1"/>
  <c r="N48" i="1"/>
  <c r="L49" i="1"/>
  <c r="N49" i="1"/>
  <c r="M50" i="1"/>
  <c r="N50" i="1"/>
  <c r="M51" i="1"/>
  <c r="N51" i="1"/>
  <c r="M52" i="1"/>
  <c r="N52" i="1"/>
  <c r="M53" i="1"/>
  <c r="L53" i="1"/>
  <c r="N53" i="1"/>
  <c r="M54" i="1"/>
  <c r="N54" i="1"/>
  <c r="M55" i="1"/>
  <c r="N55" i="1"/>
  <c r="M56" i="1"/>
  <c r="L56" i="1"/>
  <c r="N56" i="1"/>
  <c r="M57" i="1"/>
  <c r="N57" i="1"/>
  <c r="M58" i="1"/>
  <c r="N58" i="1"/>
  <c r="M59" i="1"/>
  <c r="N59" i="1"/>
  <c r="M60" i="1"/>
  <c r="N60" i="1"/>
  <c r="M61" i="1"/>
  <c r="N61" i="1"/>
  <c r="M62" i="1"/>
  <c r="N62" i="1"/>
  <c r="M63" i="1"/>
  <c r="N63" i="1"/>
  <c r="M64" i="1"/>
  <c r="N64" i="1"/>
  <c r="M65" i="1"/>
  <c r="L65" i="1"/>
  <c r="N65" i="1"/>
  <c r="M66" i="1"/>
  <c r="N66" i="1"/>
  <c r="M67" i="1"/>
  <c r="L67" i="1"/>
  <c r="N67" i="1"/>
  <c r="M68" i="1"/>
  <c r="N68" i="1"/>
  <c r="M69" i="1"/>
  <c r="N69" i="1"/>
  <c r="M70" i="1"/>
  <c r="N70" i="1"/>
  <c r="M71" i="1"/>
  <c r="N71" i="1"/>
  <c r="M72" i="1"/>
  <c r="N72" i="1"/>
  <c r="M73" i="1"/>
  <c r="N73" i="1"/>
  <c r="M74" i="1"/>
  <c r="N74" i="1"/>
  <c r="M75" i="1"/>
  <c r="N75" i="1"/>
  <c r="M76" i="1"/>
  <c r="N76" i="1"/>
  <c r="M77" i="1"/>
  <c r="N77" i="1"/>
  <c r="M78" i="1"/>
  <c r="L78" i="1"/>
  <c r="N78" i="1"/>
  <c r="M79" i="1"/>
  <c r="N79" i="1"/>
  <c r="M80" i="1"/>
  <c r="L80" i="1"/>
  <c r="N80" i="1"/>
  <c r="M81" i="1"/>
  <c r="N81" i="1"/>
  <c r="M82" i="1"/>
  <c r="N82" i="1"/>
  <c r="M83" i="1"/>
  <c r="N83" i="1"/>
  <c r="M84" i="1"/>
  <c r="N84" i="1"/>
  <c r="M85" i="1"/>
  <c r="N85" i="1"/>
  <c r="M86" i="1"/>
  <c r="N86" i="1"/>
  <c r="M87" i="1"/>
  <c r="N87" i="1"/>
  <c r="M88" i="1"/>
  <c r="L88" i="1"/>
  <c r="N88" i="1"/>
  <c r="L89" i="1"/>
  <c r="N89" i="1"/>
  <c r="M90" i="1"/>
  <c r="N90" i="1"/>
  <c r="M91" i="1"/>
  <c r="L91" i="1"/>
  <c r="N91" i="1"/>
  <c r="M92" i="1"/>
  <c r="N92" i="1"/>
  <c r="M93" i="1"/>
  <c r="N93" i="1"/>
  <c r="M94" i="1"/>
  <c r="N94" i="1"/>
  <c r="M95" i="1"/>
  <c r="L95" i="1"/>
  <c r="N95" i="1"/>
  <c r="M96" i="1"/>
  <c r="N96" i="1"/>
  <c r="M97" i="1"/>
  <c r="N97" i="1"/>
  <c r="M98" i="1"/>
  <c r="N98" i="1"/>
  <c r="M99" i="1"/>
  <c r="N99" i="1"/>
  <c r="M100" i="1"/>
  <c r="N100" i="1"/>
  <c r="M101" i="1"/>
  <c r="N101" i="1"/>
  <c r="M102" i="1"/>
  <c r="N102" i="1"/>
  <c r="M103" i="1"/>
  <c r="N103" i="1"/>
  <c r="M104" i="1"/>
  <c r="N104" i="1"/>
  <c r="M105" i="1"/>
  <c r="N105" i="1"/>
  <c r="M106" i="1"/>
  <c r="N106" i="1"/>
  <c r="M107" i="1"/>
  <c r="N107" i="1"/>
  <c r="M108" i="1"/>
  <c r="N108" i="1"/>
  <c r="M109" i="1"/>
  <c r="N109" i="1"/>
  <c r="M110" i="1"/>
  <c r="N110" i="1"/>
  <c r="M111" i="1"/>
  <c r="N111" i="1"/>
  <c r="M112" i="1"/>
  <c r="N112" i="1"/>
  <c r="M113" i="1"/>
  <c r="N113" i="1"/>
  <c r="M114" i="1"/>
  <c r="N114" i="1"/>
  <c r="M115" i="1"/>
  <c r="N115" i="1"/>
  <c r="M116" i="1"/>
  <c r="N116" i="1"/>
  <c r="M117" i="1"/>
  <c r="N117" i="1"/>
  <c r="M118" i="1"/>
  <c r="N118" i="1"/>
  <c r="M119" i="1"/>
  <c r="N119" i="1"/>
  <c r="M120" i="1"/>
  <c r="N120" i="1"/>
  <c r="M121" i="1"/>
  <c r="L121" i="1"/>
  <c r="N121" i="1"/>
  <c r="M122" i="1"/>
  <c r="N122" i="1"/>
  <c r="M123" i="1"/>
  <c r="N123" i="1"/>
  <c r="M124" i="1"/>
  <c r="N124" i="1"/>
  <c r="M125" i="1"/>
  <c r="N125" i="1"/>
  <c r="M126" i="1"/>
  <c r="N126" i="1"/>
  <c r="M127" i="1"/>
  <c r="N127" i="1"/>
  <c r="M128" i="1"/>
  <c r="N128" i="1"/>
  <c r="M129" i="1"/>
  <c r="L129" i="1"/>
  <c r="N129" i="1"/>
  <c r="M130" i="1"/>
  <c r="N130" i="1"/>
  <c r="M131" i="1"/>
  <c r="N131" i="1"/>
  <c r="M132" i="1"/>
  <c r="N132" i="1"/>
  <c r="M133" i="1"/>
  <c r="N133" i="1"/>
  <c r="M134" i="1"/>
  <c r="N134" i="1"/>
  <c r="M135" i="1"/>
  <c r="N135" i="1"/>
  <c r="M136" i="1"/>
  <c r="L136" i="1"/>
  <c r="N136" i="1"/>
  <c r="M137" i="1"/>
  <c r="N137" i="1"/>
  <c r="M138" i="1"/>
  <c r="N138" i="1"/>
  <c r="M139" i="1"/>
  <c r="N139" i="1"/>
  <c r="M140" i="1"/>
  <c r="N140" i="1"/>
  <c r="M141" i="1"/>
  <c r="N141" i="1"/>
  <c r="M142" i="1"/>
  <c r="N142" i="1"/>
  <c r="M143" i="1"/>
  <c r="N143" i="1"/>
  <c r="M144" i="1"/>
  <c r="N144" i="1"/>
  <c r="M145" i="1"/>
  <c r="L145" i="1"/>
  <c r="N145" i="1"/>
  <c r="M146" i="1"/>
  <c r="N146" i="1"/>
  <c r="M147" i="1"/>
  <c r="N147" i="1"/>
  <c r="M148" i="1"/>
  <c r="N148" i="1"/>
  <c r="M149" i="1"/>
  <c r="L149" i="1"/>
  <c r="N149" i="1"/>
  <c r="M150" i="1"/>
  <c r="N150" i="1"/>
  <c r="M151" i="1"/>
  <c r="N151" i="1"/>
  <c r="M152" i="1"/>
  <c r="N152" i="1"/>
  <c r="M153" i="1"/>
  <c r="L153" i="1"/>
  <c r="N153" i="1"/>
  <c r="M154" i="1"/>
  <c r="N154" i="1"/>
  <c r="M155" i="1"/>
  <c r="N155" i="1"/>
  <c r="M156" i="1"/>
  <c r="N156" i="1"/>
  <c r="M157" i="1"/>
  <c r="N157" i="1"/>
  <c r="M158" i="1"/>
  <c r="N158" i="1"/>
  <c r="M159" i="1"/>
  <c r="N159" i="1"/>
  <c r="M160" i="1"/>
  <c r="N160" i="1"/>
  <c r="M161" i="1"/>
  <c r="N161" i="1"/>
  <c r="M162" i="1"/>
  <c r="N162" i="1"/>
  <c r="M163" i="1"/>
  <c r="N163" i="1"/>
  <c r="M164" i="1"/>
  <c r="N164" i="1"/>
  <c r="M165" i="1"/>
  <c r="N165" i="1"/>
  <c r="M166" i="1"/>
  <c r="N166" i="1"/>
  <c r="M167" i="1"/>
  <c r="N167" i="1"/>
  <c r="M168" i="1"/>
  <c r="N168" i="1"/>
  <c r="M169" i="1"/>
  <c r="L169" i="1"/>
  <c r="N169" i="1"/>
  <c r="M170" i="1"/>
  <c r="N170" i="1"/>
  <c r="M171" i="1"/>
  <c r="N171" i="1"/>
  <c r="M172" i="1"/>
  <c r="N172" i="1"/>
  <c r="M173" i="1"/>
  <c r="L173" i="1"/>
  <c r="N173" i="1"/>
  <c r="M174" i="1"/>
  <c r="N174" i="1"/>
  <c r="M175" i="1"/>
  <c r="N175" i="1"/>
  <c r="M176" i="1"/>
  <c r="N176" i="1"/>
  <c r="M177" i="1"/>
  <c r="N177" i="1"/>
  <c r="M178" i="1"/>
  <c r="N178" i="1"/>
  <c r="M179" i="1"/>
  <c r="N179" i="1"/>
  <c r="M180" i="1"/>
  <c r="N180" i="1"/>
  <c r="M181" i="1"/>
  <c r="N181" i="1"/>
  <c r="M182" i="1"/>
  <c r="N182" i="1"/>
  <c r="M183" i="1"/>
  <c r="N183" i="1"/>
  <c r="M184" i="1"/>
  <c r="N184" i="1"/>
  <c r="M185" i="1"/>
  <c r="N185" i="1"/>
  <c r="M186" i="1"/>
  <c r="N186" i="1"/>
  <c r="M187" i="1"/>
  <c r="L187" i="1"/>
  <c r="N187" i="1"/>
  <c r="M188" i="1"/>
  <c r="N188" i="1"/>
  <c r="M189" i="1"/>
  <c r="L189" i="1"/>
  <c r="N189" i="1"/>
  <c r="M190" i="1"/>
  <c r="L190" i="1"/>
  <c r="N190" i="1"/>
  <c r="M191" i="1"/>
  <c r="N191" i="1"/>
  <c r="M192" i="1"/>
  <c r="N192" i="1"/>
  <c r="M193" i="1"/>
  <c r="N193" i="1"/>
  <c r="M194" i="1"/>
  <c r="N194" i="1"/>
  <c r="M195" i="1"/>
  <c r="N195" i="1"/>
  <c r="M196" i="1"/>
  <c r="N196" i="1"/>
  <c r="M197" i="1"/>
  <c r="N197" i="1"/>
  <c r="M198" i="1"/>
  <c r="N198" i="1"/>
  <c r="M199" i="1"/>
  <c r="N199" i="1"/>
  <c r="M200" i="1"/>
  <c r="N200" i="1"/>
  <c r="M201" i="1"/>
  <c r="N201" i="1"/>
  <c r="M202" i="1"/>
  <c r="N202" i="1"/>
  <c r="M203" i="1"/>
  <c r="L203" i="1"/>
  <c r="N203" i="1"/>
  <c r="M204" i="1"/>
  <c r="N204" i="1"/>
  <c r="M205" i="1"/>
  <c r="N205" i="1"/>
  <c r="M206" i="1"/>
  <c r="N206" i="1"/>
  <c r="M207" i="1"/>
  <c r="N207" i="1"/>
  <c r="M208" i="1"/>
  <c r="N208" i="1"/>
  <c r="M209" i="1"/>
  <c r="N209" i="1"/>
  <c r="M210" i="1"/>
  <c r="N210" i="1"/>
  <c r="M211" i="1"/>
  <c r="N211" i="1"/>
  <c r="M212" i="1"/>
  <c r="N212" i="1"/>
  <c r="M213" i="1"/>
  <c r="N213" i="1"/>
  <c r="M214" i="1"/>
  <c r="N214" i="1"/>
  <c r="M215" i="1"/>
  <c r="L215" i="1"/>
  <c r="N215" i="1"/>
  <c r="M216" i="1"/>
  <c r="N216" i="1"/>
  <c r="M217" i="1"/>
  <c r="N217" i="1"/>
  <c r="M218" i="1"/>
  <c r="N218" i="1"/>
  <c r="M219" i="1"/>
  <c r="N219" i="1"/>
  <c r="M220" i="1"/>
  <c r="N220" i="1"/>
  <c r="M221" i="1"/>
  <c r="N221" i="1"/>
  <c r="M222" i="1"/>
  <c r="N222" i="1"/>
  <c r="M223" i="1"/>
  <c r="N223" i="1"/>
  <c r="M224" i="1"/>
  <c r="N224" i="1"/>
  <c r="M225" i="1"/>
  <c r="N225" i="1"/>
  <c r="M226" i="1"/>
  <c r="N226" i="1"/>
  <c r="M227" i="1"/>
  <c r="N227" i="1"/>
  <c r="M228" i="1"/>
  <c r="N228" i="1"/>
  <c r="M229" i="1"/>
  <c r="N229" i="1"/>
  <c r="M230" i="1"/>
  <c r="N230" i="1"/>
  <c r="M231" i="1"/>
  <c r="N231" i="1"/>
  <c r="M232" i="1"/>
  <c r="N232" i="1"/>
  <c r="M233" i="1"/>
  <c r="N233" i="1"/>
  <c r="M234" i="1"/>
  <c r="N234" i="1"/>
  <c r="M235" i="1"/>
  <c r="N235" i="1"/>
  <c r="M236" i="1"/>
  <c r="N236" i="1"/>
  <c r="M237" i="1"/>
  <c r="N237" i="1"/>
  <c r="M238" i="1"/>
  <c r="N238" i="1"/>
  <c r="M239" i="1"/>
  <c r="N239" i="1"/>
  <c r="M240" i="1"/>
  <c r="N240" i="1"/>
  <c r="M241" i="1"/>
  <c r="N241" i="1"/>
  <c r="M242" i="1"/>
  <c r="N242" i="1"/>
  <c r="M243" i="1"/>
  <c r="N243" i="1"/>
  <c r="M244" i="1"/>
  <c r="N244" i="1"/>
  <c r="M245" i="1"/>
  <c r="N245" i="1"/>
  <c r="M246" i="1"/>
  <c r="N246" i="1"/>
  <c r="M247" i="1"/>
  <c r="N247" i="1"/>
  <c r="M248" i="1"/>
  <c r="N248" i="1"/>
  <c r="M249" i="1"/>
  <c r="L249" i="1"/>
  <c r="N249" i="1"/>
  <c r="M250" i="1"/>
  <c r="N250" i="1"/>
  <c r="M251" i="1"/>
  <c r="N251" i="1"/>
  <c r="M252" i="1"/>
  <c r="N252" i="1"/>
  <c r="M253" i="1"/>
  <c r="N253" i="1"/>
  <c r="M254" i="1"/>
  <c r="N254" i="1"/>
  <c r="M255" i="1"/>
  <c r="N255" i="1"/>
  <c r="M256" i="1"/>
  <c r="N256" i="1"/>
  <c r="M257" i="1"/>
  <c r="N257" i="1"/>
  <c r="M258" i="1"/>
  <c r="N258" i="1"/>
  <c r="M259" i="1"/>
  <c r="N259" i="1"/>
  <c r="M260" i="1"/>
  <c r="N260" i="1"/>
  <c r="M261" i="1"/>
  <c r="N261" i="1"/>
  <c r="M262" i="1"/>
  <c r="L262" i="1"/>
  <c r="N262" i="1"/>
  <c r="M263" i="1"/>
  <c r="N263" i="1"/>
  <c r="M264" i="1"/>
  <c r="N264" i="1"/>
  <c r="M265" i="1"/>
  <c r="N265" i="1"/>
  <c r="M266" i="1"/>
  <c r="N266" i="1"/>
  <c r="M267" i="1"/>
  <c r="N267" i="1"/>
  <c r="M268" i="1"/>
  <c r="L268" i="1"/>
  <c r="N268" i="1"/>
  <c r="M269" i="1"/>
  <c r="N269" i="1"/>
  <c r="M270" i="1"/>
  <c r="N270" i="1"/>
  <c r="M271" i="1"/>
  <c r="N271" i="1"/>
  <c r="M272" i="1"/>
  <c r="N272" i="1"/>
  <c r="M273" i="1"/>
  <c r="N273" i="1"/>
  <c r="M274" i="1"/>
  <c r="N274" i="1"/>
  <c r="M275" i="1"/>
  <c r="N275" i="1"/>
  <c r="M276" i="1"/>
  <c r="N276" i="1"/>
  <c r="M277" i="1"/>
  <c r="N277" i="1"/>
  <c r="M278" i="1"/>
  <c r="N278" i="1"/>
  <c r="L279" i="1"/>
  <c r="N279" i="1"/>
  <c r="M280" i="1"/>
  <c r="N280" i="1"/>
  <c r="M281" i="1"/>
  <c r="N281" i="1"/>
  <c r="M282" i="1"/>
  <c r="N282" i="1"/>
  <c r="M283" i="1"/>
  <c r="N283" i="1"/>
  <c r="M284" i="1"/>
  <c r="N284" i="1"/>
  <c r="M285" i="1"/>
  <c r="L285" i="1"/>
  <c r="N285" i="1"/>
  <c r="M286" i="1"/>
  <c r="N286" i="1"/>
  <c r="M287" i="1"/>
  <c r="N287" i="1"/>
  <c r="M288" i="1"/>
  <c r="N288" i="1"/>
  <c r="M289" i="1"/>
  <c r="N289" i="1"/>
  <c r="M290" i="1"/>
  <c r="N290" i="1"/>
  <c r="M291" i="1"/>
  <c r="N291" i="1"/>
  <c r="M292" i="1"/>
  <c r="N292" i="1"/>
  <c r="M293" i="1"/>
  <c r="N293" i="1"/>
  <c r="M294" i="1"/>
  <c r="N294" i="1"/>
  <c r="M295" i="1"/>
  <c r="N295" i="1"/>
  <c r="M296" i="1"/>
  <c r="N296" i="1"/>
  <c r="M297" i="1"/>
  <c r="N297" i="1"/>
  <c r="M298" i="1"/>
  <c r="N298" i="1"/>
  <c r="M299" i="1"/>
  <c r="N299" i="1"/>
  <c r="M300" i="1"/>
  <c r="N300" i="1"/>
  <c r="M301" i="1"/>
  <c r="N301" i="1"/>
  <c r="M302" i="1"/>
  <c r="N302" i="1"/>
  <c r="M303" i="1"/>
  <c r="N303" i="1"/>
  <c r="M304" i="1"/>
  <c r="N304" i="1"/>
  <c r="M305" i="1"/>
  <c r="L305" i="1"/>
  <c r="N305" i="1"/>
  <c r="M306" i="1"/>
  <c r="N306" i="1"/>
  <c r="M307" i="1"/>
  <c r="N307" i="1"/>
  <c r="M308" i="1"/>
  <c r="N308" i="1"/>
  <c r="M309" i="1"/>
  <c r="N309" i="1"/>
  <c r="M310" i="1"/>
  <c r="N310" i="1"/>
  <c r="M311" i="1"/>
  <c r="N311" i="1"/>
  <c r="M312" i="1"/>
  <c r="L312" i="1"/>
  <c r="N312" i="1"/>
  <c r="M313" i="1"/>
  <c r="N313" i="1"/>
  <c r="M314" i="1"/>
  <c r="N314" i="1"/>
  <c r="M315" i="1"/>
  <c r="N315" i="1"/>
  <c r="M316" i="1"/>
  <c r="N316" i="1"/>
  <c r="M317" i="1"/>
  <c r="N317" i="1"/>
  <c r="M318" i="1"/>
  <c r="N318" i="1"/>
  <c r="M319" i="1"/>
  <c r="N319" i="1"/>
  <c r="M320" i="1"/>
  <c r="N320" i="1"/>
  <c r="M321" i="1"/>
  <c r="N321" i="1"/>
  <c r="M322" i="1"/>
  <c r="N322" i="1"/>
  <c r="M323" i="1"/>
  <c r="N323" i="1"/>
  <c r="M324" i="1"/>
  <c r="N324" i="1"/>
  <c r="M325" i="1"/>
  <c r="N325" i="1"/>
  <c r="M326" i="1"/>
  <c r="L326" i="1"/>
  <c r="N326" i="1"/>
  <c r="M327" i="1"/>
  <c r="N327" i="1"/>
  <c r="M328" i="1"/>
  <c r="N328" i="1"/>
  <c r="M329" i="1"/>
  <c r="N329" i="1"/>
  <c r="M330" i="1"/>
  <c r="N330" i="1"/>
  <c r="M331" i="1"/>
  <c r="N331" i="1"/>
  <c r="M332" i="1"/>
  <c r="N332" i="1"/>
  <c r="M333" i="1"/>
  <c r="L333" i="1"/>
  <c r="N333" i="1"/>
  <c r="M334" i="1"/>
  <c r="N334" i="1"/>
  <c r="M335" i="1"/>
  <c r="N335" i="1"/>
  <c r="M336" i="1"/>
  <c r="N336" i="1"/>
  <c r="M337" i="1"/>
  <c r="N337" i="1"/>
  <c r="M338" i="1"/>
  <c r="N338" i="1"/>
  <c r="M339" i="1"/>
  <c r="L339" i="1"/>
  <c r="N339" i="1"/>
  <c r="M340" i="1"/>
  <c r="N340" i="1"/>
  <c r="M341" i="1"/>
  <c r="N341" i="1"/>
  <c r="M342" i="1"/>
  <c r="N342" i="1"/>
  <c r="M343" i="1"/>
  <c r="N343" i="1"/>
  <c r="M344" i="1"/>
  <c r="N344" i="1"/>
  <c r="M345" i="1"/>
  <c r="N345" i="1"/>
  <c r="M346" i="1"/>
  <c r="N346" i="1"/>
  <c r="M347" i="1"/>
  <c r="N347" i="1"/>
  <c r="M348" i="1"/>
  <c r="N348" i="1"/>
  <c r="M349" i="1"/>
  <c r="N349" i="1"/>
  <c r="M350" i="1"/>
  <c r="N350" i="1"/>
  <c r="M351" i="1"/>
  <c r="N351" i="1"/>
  <c r="M352" i="1"/>
  <c r="N352" i="1"/>
  <c r="M353" i="1"/>
  <c r="N353" i="1"/>
  <c r="L354" i="1"/>
  <c r="N354" i="1"/>
  <c r="M355" i="1"/>
  <c r="N355" i="1"/>
  <c r="M356" i="1"/>
  <c r="N356" i="1"/>
  <c r="M357" i="1"/>
  <c r="N357" i="1"/>
  <c r="M358" i="1"/>
  <c r="N358" i="1"/>
  <c r="M359" i="1"/>
  <c r="N359" i="1"/>
  <c r="M360" i="1"/>
  <c r="N360" i="1"/>
  <c r="M361" i="1"/>
  <c r="N361" i="1"/>
  <c r="M362" i="1"/>
  <c r="L362" i="1"/>
  <c r="N362" i="1"/>
  <c r="M363" i="1"/>
  <c r="L363" i="1"/>
  <c r="N363" i="1"/>
  <c r="M364" i="1"/>
  <c r="N364" i="1"/>
  <c r="M365" i="1"/>
  <c r="N365" i="1"/>
  <c r="M366" i="1"/>
  <c r="N366" i="1"/>
  <c r="M367" i="1"/>
  <c r="N367" i="1"/>
  <c r="M368" i="1"/>
  <c r="N368" i="1"/>
  <c r="M369" i="1"/>
  <c r="N369" i="1"/>
  <c r="M370" i="1"/>
  <c r="N370" i="1"/>
  <c r="M371" i="1"/>
  <c r="N371" i="1"/>
  <c r="M372" i="1"/>
  <c r="L372" i="1"/>
  <c r="N372" i="1"/>
  <c r="M373" i="1"/>
  <c r="N373" i="1"/>
  <c r="M374" i="1"/>
  <c r="N374" i="1"/>
  <c r="M375" i="1"/>
  <c r="N375" i="1"/>
  <c r="M376" i="1"/>
  <c r="N376" i="1"/>
  <c r="M377" i="1"/>
  <c r="N377" i="1"/>
  <c r="M378" i="1"/>
  <c r="N378" i="1"/>
  <c r="M379" i="1"/>
  <c r="N379" i="1"/>
  <c r="M380" i="1"/>
  <c r="N380" i="1"/>
  <c r="M381" i="1"/>
  <c r="L381" i="1"/>
  <c r="N381" i="1"/>
  <c r="M382" i="1"/>
  <c r="N382" i="1"/>
  <c r="M383" i="1"/>
  <c r="N383" i="1"/>
  <c r="M384" i="1"/>
  <c r="N384" i="1"/>
  <c r="M385" i="1"/>
  <c r="N385" i="1"/>
  <c r="M386" i="1"/>
  <c r="N386" i="1"/>
  <c r="M387" i="1"/>
  <c r="N387" i="1"/>
  <c r="M388" i="1"/>
  <c r="N388" i="1"/>
  <c r="M389" i="1"/>
  <c r="N389" i="1"/>
  <c r="M390" i="1"/>
  <c r="N390" i="1"/>
  <c r="M391" i="1"/>
  <c r="N391" i="1"/>
  <c r="M392" i="1"/>
  <c r="N392" i="1"/>
  <c r="M393" i="1"/>
  <c r="N393" i="1"/>
  <c r="M394" i="1"/>
  <c r="N394" i="1"/>
  <c r="M395" i="1"/>
  <c r="N395" i="1"/>
  <c r="M396" i="1"/>
  <c r="N396" i="1"/>
  <c r="M397" i="1"/>
  <c r="N397" i="1"/>
  <c r="M398" i="1"/>
  <c r="N398" i="1"/>
  <c r="L399" i="1"/>
  <c r="N399" i="1"/>
  <c r="M400" i="1"/>
  <c r="N400" i="1"/>
  <c r="M401" i="1"/>
  <c r="N401" i="1"/>
  <c r="M402" i="1"/>
  <c r="N402" i="1"/>
  <c r="M403" i="1"/>
  <c r="N403" i="1"/>
  <c r="M404" i="1"/>
  <c r="N404" i="1"/>
  <c r="M405" i="1"/>
  <c r="N405" i="1"/>
  <c r="M406" i="1"/>
  <c r="N406" i="1"/>
  <c r="M407" i="1"/>
  <c r="N407" i="1"/>
  <c r="M408" i="1"/>
  <c r="N408" i="1"/>
  <c r="M409" i="1"/>
  <c r="N409" i="1"/>
  <c r="M410" i="1"/>
  <c r="N410" i="1"/>
  <c r="M411" i="1"/>
  <c r="N411" i="1"/>
  <c r="M412" i="1"/>
  <c r="N412" i="1"/>
  <c r="M413" i="1"/>
  <c r="L413" i="1"/>
  <c r="N413" i="1"/>
  <c r="M414" i="1"/>
  <c r="N414" i="1"/>
  <c r="M415" i="1"/>
  <c r="N415" i="1"/>
  <c r="M416" i="1"/>
  <c r="N416" i="1"/>
  <c r="M417" i="1"/>
  <c r="N417" i="1"/>
  <c r="M418" i="1"/>
  <c r="L418" i="1"/>
  <c r="N418" i="1"/>
  <c r="M419" i="1"/>
  <c r="N419" i="1"/>
  <c r="M420" i="1"/>
  <c r="N420" i="1"/>
  <c r="M421" i="1"/>
  <c r="N421" i="1"/>
  <c r="M422" i="1"/>
  <c r="N422" i="1"/>
  <c r="M423" i="1"/>
  <c r="N423" i="1"/>
  <c r="M424" i="1"/>
  <c r="N424" i="1"/>
  <c r="M425" i="1"/>
  <c r="N425" i="1"/>
  <c r="M426" i="1"/>
  <c r="N426" i="1"/>
  <c r="M427" i="1"/>
  <c r="L427" i="1"/>
  <c r="N427" i="1"/>
  <c r="M428" i="1"/>
  <c r="L428" i="1"/>
  <c r="N428" i="1"/>
  <c r="L429" i="1"/>
  <c r="N429" i="1"/>
  <c r="M430" i="1"/>
  <c r="N430" i="1"/>
  <c r="M431" i="1"/>
  <c r="N431" i="1"/>
  <c r="M432" i="1"/>
  <c r="L432" i="1"/>
  <c r="N432" i="1"/>
  <c r="M433" i="1"/>
  <c r="N433" i="1"/>
  <c r="M434" i="1"/>
  <c r="N434" i="1"/>
  <c r="M435" i="1"/>
  <c r="N435" i="1"/>
  <c r="M436" i="1"/>
  <c r="N436" i="1"/>
  <c r="M437" i="1"/>
  <c r="L437" i="1"/>
  <c r="N437" i="1"/>
  <c r="M438" i="1"/>
  <c r="N438" i="1"/>
  <c r="M439" i="1"/>
  <c r="N439" i="1"/>
  <c r="M440" i="1"/>
  <c r="N440" i="1"/>
  <c r="M441" i="1"/>
  <c r="L441" i="1"/>
  <c r="N441" i="1"/>
  <c r="M442" i="1"/>
  <c r="N442" i="1"/>
  <c r="M443" i="1"/>
  <c r="N443" i="1"/>
  <c r="M444" i="1"/>
  <c r="N444" i="1"/>
  <c r="M445" i="1"/>
  <c r="L445" i="1"/>
  <c r="N445" i="1"/>
  <c r="M446" i="1"/>
  <c r="N446" i="1"/>
  <c r="M447" i="1"/>
  <c r="N447" i="1"/>
  <c r="M448" i="1"/>
  <c r="N448" i="1"/>
  <c r="M449" i="1"/>
  <c r="L449" i="1"/>
  <c r="N449" i="1"/>
  <c r="M450" i="1"/>
  <c r="N450" i="1"/>
  <c r="M451" i="1"/>
  <c r="N451" i="1"/>
  <c r="M452" i="1"/>
  <c r="N452" i="1"/>
  <c r="M453" i="1"/>
  <c r="N453" i="1"/>
  <c r="M454" i="1"/>
  <c r="N454" i="1"/>
  <c r="M455" i="1"/>
  <c r="N455" i="1"/>
  <c r="M456" i="1"/>
  <c r="N456" i="1"/>
  <c r="M457" i="1"/>
  <c r="N457" i="1"/>
  <c r="M458" i="1"/>
  <c r="N458" i="1"/>
  <c r="M459" i="1"/>
  <c r="N459" i="1"/>
  <c r="M460" i="1"/>
  <c r="N460" i="1"/>
  <c r="M461" i="1"/>
  <c r="N461" i="1"/>
  <c r="M462" i="1"/>
  <c r="N462" i="1"/>
  <c r="M463" i="1"/>
  <c r="N463" i="1"/>
  <c r="M464" i="1"/>
  <c r="N464" i="1"/>
  <c r="M465" i="1"/>
  <c r="N465" i="1"/>
  <c r="M466" i="1"/>
  <c r="N466" i="1"/>
  <c r="M467" i="1"/>
  <c r="N467" i="1"/>
  <c r="M468" i="1"/>
  <c r="N468" i="1"/>
  <c r="M469" i="1"/>
  <c r="L469" i="1"/>
  <c r="N469" i="1"/>
  <c r="M470" i="1"/>
  <c r="L470" i="1"/>
  <c r="N470" i="1"/>
  <c r="M471" i="1"/>
  <c r="N471" i="1"/>
  <c r="M472" i="1"/>
  <c r="N472" i="1"/>
  <c r="M473" i="1"/>
  <c r="N473" i="1"/>
  <c r="M474" i="1"/>
  <c r="N474" i="1"/>
  <c r="M475" i="1"/>
  <c r="N475" i="1"/>
  <c r="M476" i="1"/>
  <c r="L476" i="1"/>
  <c r="N476" i="1"/>
  <c r="M477" i="1"/>
  <c r="N477" i="1"/>
  <c r="M478" i="1"/>
  <c r="N478" i="1"/>
  <c r="M479" i="1"/>
  <c r="L479" i="1"/>
  <c r="N479" i="1"/>
  <c r="M480" i="1"/>
  <c r="N480" i="1"/>
  <c r="M481" i="1"/>
  <c r="L481" i="1"/>
  <c r="N481" i="1"/>
  <c r="M482" i="1"/>
  <c r="N482" i="1"/>
  <c r="M483" i="1"/>
  <c r="N483" i="1"/>
  <c r="M484" i="1"/>
  <c r="N484" i="1"/>
  <c r="M485" i="1"/>
  <c r="N485" i="1"/>
  <c r="M486" i="1"/>
  <c r="N486" i="1"/>
  <c r="M487" i="1"/>
  <c r="N487" i="1"/>
  <c r="M488" i="1"/>
  <c r="N488" i="1"/>
  <c r="M489" i="1"/>
  <c r="N489" i="1"/>
  <c r="M490" i="1"/>
  <c r="N490" i="1"/>
  <c r="M491" i="1"/>
  <c r="N491" i="1"/>
  <c r="M492" i="1"/>
  <c r="N492" i="1"/>
  <c r="M493" i="1"/>
  <c r="N493" i="1"/>
  <c r="M494" i="1"/>
  <c r="N494" i="1"/>
  <c r="L495" i="1"/>
  <c r="N495" i="1"/>
  <c r="M496" i="1"/>
  <c r="N496" i="1"/>
  <c r="M497" i="1"/>
  <c r="N497" i="1"/>
  <c r="M498" i="1"/>
  <c r="N498" i="1"/>
  <c r="M499" i="1"/>
  <c r="N499" i="1"/>
  <c r="M500" i="1"/>
  <c r="L500" i="1"/>
  <c r="N500" i="1"/>
  <c r="M501" i="1"/>
  <c r="N501" i="1"/>
  <c r="M502" i="1"/>
  <c r="N502" i="1"/>
  <c r="M503" i="1"/>
  <c r="N503" i="1"/>
  <c r="M504" i="1"/>
  <c r="N504" i="1"/>
  <c r="M505" i="1"/>
  <c r="N505" i="1"/>
  <c r="M506" i="1"/>
  <c r="N506" i="1"/>
  <c r="M507" i="1"/>
  <c r="N507" i="1"/>
  <c r="M508" i="1"/>
  <c r="N508" i="1"/>
  <c r="M509" i="1"/>
  <c r="N509" i="1"/>
  <c r="M510" i="1"/>
  <c r="N510" i="1"/>
  <c r="M511" i="1"/>
  <c r="N511" i="1"/>
  <c r="M512" i="1"/>
  <c r="N512" i="1"/>
  <c r="M513" i="1"/>
  <c r="L513" i="1"/>
  <c r="N513" i="1"/>
  <c r="M514" i="1"/>
  <c r="N514" i="1"/>
  <c r="M515" i="1"/>
  <c r="N515" i="1"/>
  <c r="M516" i="1"/>
  <c r="N516" i="1"/>
  <c r="M517" i="1"/>
  <c r="N517" i="1"/>
  <c r="M518" i="1"/>
  <c r="N518" i="1"/>
  <c r="M519" i="1"/>
  <c r="L519" i="1"/>
  <c r="N519" i="1"/>
  <c r="M520" i="1"/>
  <c r="N520" i="1"/>
  <c r="M521" i="1"/>
  <c r="N521" i="1"/>
  <c r="M522" i="1"/>
  <c r="N522" i="1"/>
  <c r="M523" i="1"/>
  <c r="N523" i="1"/>
  <c r="M524" i="1"/>
  <c r="N524" i="1"/>
  <c r="M525" i="1"/>
  <c r="N525" i="1"/>
  <c r="L526" i="1"/>
  <c r="N526" i="1"/>
  <c r="M527" i="1"/>
  <c r="N527" i="1"/>
  <c r="M528" i="1"/>
  <c r="N528" i="1"/>
  <c r="M529" i="1"/>
  <c r="N529" i="1"/>
  <c r="M530" i="1"/>
  <c r="N530" i="1"/>
  <c r="M531" i="1"/>
  <c r="N531" i="1"/>
  <c r="M532" i="1"/>
  <c r="N532" i="1"/>
  <c r="M533" i="1"/>
  <c r="N533" i="1"/>
  <c r="M534" i="1"/>
  <c r="N534" i="1"/>
  <c r="M535" i="1"/>
  <c r="N535" i="1"/>
  <c r="M536" i="1"/>
  <c r="N536" i="1"/>
  <c r="M537" i="1"/>
  <c r="N537" i="1"/>
  <c r="L538" i="1"/>
  <c r="N538" i="1"/>
  <c r="M539" i="1"/>
  <c r="N539" i="1"/>
  <c r="M540" i="1"/>
  <c r="N540" i="1"/>
  <c r="M541" i="1"/>
  <c r="N541" i="1"/>
  <c r="M542" i="1"/>
  <c r="N542" i="1"/>
  <c r="M543" i="1"/>
  <c r="N543" i="1"/>
  <c r="M544" i="1"/>
  <c r="N544" i="1"/>
  <c r="M545" i="1"/>
  <c r="N545" i="1"/>
  <c r="M546" i="1"/>
  <c r="N546" i="1"/>
  <c r="M547" i="1"/>
  <c r="N547" i="1"/>
  <c r="M548" i="1"/>
  <c r="N548" i="1"/>
  <c r="M549" i="1"/>
  <c r="N549" i="1"/>
  <c r="M550" i="1"/>
  <c r="N550" i="1"/>
  <c r="M551" i="1"/>
  <c r="N551" i="1"/>
  <c r="M552" i="1"/>
  <c r="L552" i="1"/>
  <c r="N552" i="1"/>
  <c r="M553" i="1"/>
  <c r="N553" i="1"/>
  <c r="M554" i="1"/>
  <c r="N554" i="1"/>
  <c r="M555" i="1"/>
  <c r="N555" i="1"/>
  <c r="M556" i="1"/>
  <c r="N556" i="1"/>
  <c r="M557" i="1"/>
  <c r="L557" i="1"/>
  <c r="N557" i="1"/>
  <c r="M558" i="1"/>
  <c r="N558" i="1"/>
  <c r="M559" i="1"/>
  <c r="N559" i="1"/>
  <c r="L560" i="1"/>
  <c r="N560" i="1"/>
  <c r="M561" i="1"/>
  <c r="N561" i="1"/>
  <c r="L562" i="1"/>
  <c r="N562" i="1"/>
  <c r="M563" i="1"/>
  <c r="N563" i="1"/>
  <c r="M564" i="1"/>
  <c r="N564" i="1"/>
  <c r="M565" i="1"/>
  <c r="N565" i="1"/>
  <c r="M566" i="1"/>
  <c r="L566" i="1"/>
  <c r="N566" i="1"/>
  <c r="M567" i="1"/>
  <c r="N567" i="1"/>
  <c r="M568" i="1"/>
  <c r="N568" i="1"/>
  <c r="M569" i="1"/>
  <c r="L569" i="1"/>
  <c r="N569" i="1"/>
  <c r="M570" i="1"/>
  <c r="N570" i="1"/>
  <c r="M571" i="1"/>
  <c r="N571" i="1"/>
  <c r="M572" i="1"/>
  <c r="N572" i="1"/>
  <c r="M573" i="1"/>
  <c r="N573" i="1"/>
  <c r="M574" i="1"/>
  <c r="N574" i="1"/>
  <c r="M575" i="1"/>
  <c r="N575" i="1"/>
  <c r="M576" i="1"/>
  <c r="N576" i="1"/>
  <c r="M577" i="1"/>
  <c r="N577" i="1"/>
  <c r="M578" i="1"/>
  <c r="N578" i="1"/>
  <c r="M579" i="1"/>
  <c r="N579" i="1"/>
  <c r="M580" i="1"/>
  <c r="N580" i="1"/>
  <c r="M581" i="1"/>
  <c r="N581" i="1"/>
  <c r="M582" i="1"/>
  <c r="N582" i="1"/>
  <c r="M583" i="1"/>
  <c r="N583" i="1"/>
  <c r="M584" i="1"/>
  <c r="N584" i="1"/>
  <c r="M585" i="1"/>
  <c r="N585" i="1"/>
  <c r="M586" i="1"/>
  <c r="N586" i="1"/>
  <c r="M587" i="1"/>
  <c r="N587" i="1"/>
  <c r="M588" i="1"/>
  <c r="N588" i="1"/>
  <c r="M589" i="1"/>
  <c r="N589" i="1"/>
  <c r="M590" i="1"/>
  <c r="N590" i="1"/>
  <c r="M591" i="1"/>
  <c r="N591" i="1"/>
  <c r="M592" i="1"/>
  <c r="N592" i="1"/>
  <c r="M593" i="1"/>
  <c r="N593" i="1"/>
  <c r="M594" i="1"/>
  <c r="N594" i="1"/>
  <c r="M595" i="1"/>
  <c r="N595" i="1"/>
  <c r="M596" i="1"/>
  <c r="L596" i="1"/>
  <c r="N596" i="1"/>
  <c r="M597" i="1"/>
  <c r="N597" i="1"/>
  <c r="M598" i="1"/>
  <c r="N598" i="1"/>
  <c r="M599" i="1"/>
  <c r="N599" i="1"/>
  <c r="M600" i="1"/>
  <c r="N600" i="1"/>
  <c r="M601" i="1"/>
  <c r="N601" i="1"/>
  <c r="M602" i="1"/>
  <c r="N602" i="1"/>
  <c r="M603" i="1"/>
  <c r="N603" i="1"/>
  <c r="M604" i="1"/>
  <c r="N604" i="1"/>
  <c r="M605" i="1"/>
  <c r="N605" i="1"/>
  <c r="M606" i="1"/>
  <c r="N606" i="1"/>
  <c r="M607" i="1"/>
  <c r="N607" i="1"/>
  <c r="M608" i="1"/>
  <c r="N608" i="1"/>
  <c r="M609" i="1"/>
  <c r="N609" i="1"/>
  <c r="M610" i="1"/>
  <c r="N610" i="1"/>
  <c r="M611" i="1"/>
  <c r="N611" i="1"/>
  <c r="M612" i="1"/>
  <c r="N612" i="1"/>
  <c r="M613" i="1"/>
  <c r="N613" i="1"/>
  <c r="M614" i="1"/>
  <c r="N614" i="1"/>
  <c r="M615" i="1"/>
  <c r="N615" i="1"/>
  <c r="M616" i="1"/>
  <c r="N616" i="1"/>
  <c r="M617" i="1"/>
  <c r="N617" i="1"/>
  <c r="M618" i="1"/>
  <c r="L618" i="1"/>
  <c r="N618" i="1"/>
  <c r="M619" i="1"/>
  <c r="N619" i="1"/>
  <c r="M620" i="1"/>
  <c r="L620" i="1"/>
  <c r="N620" i="1"/>
  <c r="M621" i="1"/>
  <c r="L621" i="1"/>
  <c r="N621" i="1"/>
  <c r="M622" i="1"/>
  <c r="N622" i="1"/>
  <c r="M623" i="1"/>
  <c r="N623" i="1"/>
  <c r="M624" i="1"/>
  <c r="L624" i="1"/>
  <c r="N624" i="1"/>
  <c r="M625" i="1"/>
  <c r="N625" i="1"/>
  <c r="M626" i="1"/>
  <c r="N626" i="1"/>
  <c r="M627" i="1"/>
  <c r="N627" i="1"/>
  <c r="M628" i="1"/>
  <c r="N628" i="1"/>
  <c r="M629" i="1"/>
  <c r="N629" i="1"/>
  <c r="M630" i="1"/>
  <c r="N630" i="1"/>
  <c r="M631" i="1"/>
  <c r="N631" i="1"/>
  <c r="M632" i="1"/>
  <c r="N632" i="1"/>
  <c r="M633" i="1"/>
  <c r="N633" i="1"/>
  <c r="M634" i="1"/>
  <c r="N634" i="1"/>
  <c r="M635" i="1"/>
  <c r="N635" i="1"/>
  <c r="M636" i="1"/>
  <c r="N636" i="1"/>
  <c r="M637" i="1"/>
  <c r="N637" i="1"/>
  <c r="M638" i="1"/>
  <c r="N638" i="1"/>
  <c r="M639" i="1"/>
  <c r="N639" i="1"/>
  <c r="L640" i="1"/>
  <c r="N640" i="1"/>
  <c r="M641" i="1"/>
  <c r="N641" i="1"/>
  <c r="M642" i="1"/>
  <c r="N642" i="1"/>
  <c r="M643" i="1"/>
  <c r="N643" i="1"/>
  <c r="M644" i="1"/>
  <c r="N644" i="1"/>
  <c r="M645" i="1"/>
  <c r="N645" i="1"/>
  <c r="M646" i="1"/>
  <c r="N646" i="1"/>
  <c r="M647" i="1"/>
  <c r="N647" i="1"/>
  <c r="M648" i="1"/>
  <c r="N648" i="1"/>
  <c r="M649" i="1"/>
  <c r="N649" i="1"/>
  <c r="M650" i="1"/>
  <c r="N650" i="1"/>
  <c r="M651" i="1"/>
  <c r="N651" i="1"/>
  <c r="M652" i="1"/>
  <c r="N652" i="1"/>
  <c r="M653" i="1"/>
  <c r="N653" i="1"/>
  <c r="M654" i="1"/>
  <c r="N654" i="1"/>
  <c r="M655" i="1"/>
  <c r="N655" i="1"/>
  <c r="M656" i="1"/>
  <c r="N656" i="1"/>
  <c r="M657" i="1"/>
  <c r="N657" i="1"/>
  <c r="M658" i="1"/>
  <c r="N658" i="1"/>
  <c r="M659" i="1"/>
  <c r="N659" i="1"/>
  <c r="M660" i="1"/>
  <c r="N660" i="1"/>
  <c r="M661" i="1"/>
  <c r="N661" i="1"/>
  <c r="M662" i="1"/>
  <c r="N662" i="1"/>
  <c r="M663" i="1"/>
  <c r="N663" i="1"/>
  <c r="M664" i="1"/>
  <c r="N664" i="1"/>
  <c r="M665" i="1"/>
  <c r="N665" i="1"/>
  <c r="M666" i="1"/>
  <c r="N666" i="1"/>
  <c r="M667" i="1"/>
  <c r="N667" i="1"/>
  <c r="M668" i="1"/>
  <c r="N668" i="1"/>
  <c r="M669" i="1"/>
  <c r="N669" i="1"/>
  <c r="M670" i="1"/>
  <c r="N670" i="1"/>
  <c r="M671" i="1"/>
  <c r="N671" i="1"/>
  <c r="M672" i="1"/>
  <c r="N672" i="1"/>
  <c r="M673" i="1"/>
  <c r="N673" i="1"/>
  <c r="M674" i="1"/>
  <c r="N674" i="1"/>
  <c r="M675" i="1"/>
  <c r="N675" i="1"/>
  <c r="M676" i="1"/>
  <c r="L676" i="1"/>
  <c r="N676" i="1"/>
  <c r="M677" i="1"/>
  <c r="N677" i="1"/>
  <c r="M678" i="1"/>
  <c r="N678" i="1"/>
  <c r="M679" i="1"/>
  <c r="N679" i="1"/>
  <c r="M680" i="1"/>
  <c r="N680" i="1"/>
  <c r="M681" i="1"/>
  <c r="N681" i="1"/>
  <c r="M682" i="1"/>
  <c r="N682" i="1"/>
  <c r="M683" i="1"/>
  <c r="N683" i="1"/>
  <c r="M684" i="1"/>
  <c r="N684" i="1"/>
  <c r="M685" i="1"/>
  <c r="N685" i="1"/>
  <c r="M686" i="1"/>
  <c r="N686" i="1"/>
  <c r="M687" i="1"/>
  <c r="N687" i="1"/>
  <c r="M688" i="1"/>
  <c r="N688" i="1"/>
  <c r="M689" i="1"/>
  <c r="N689" i="1"/>
  <c r="M690" i="1"/>
  <c r="N690" i="1"/>
  <c r="M691" i="1"/>
  <c r="N691" i="1"/>
  <c r="M692" i="1"/>
  <c r="N692" i="1"/>
  <c r="M693" i="1"/>
  <c r="N693" i="1"/>
  <c r="M694" i="1"/>
  <c r="N694" i="1"/>
  <c r="M695" i="1"/>
  <c r="N695" i="1"/>
  <c r="M696" i="1"/>
  <c r="N696" i="1"/>
  <c r="M697" i="1"/>
  <c r="N697" i="1"/>
  <c r="M698" i="1"/>
  <c r="N698" i="1"/>
  <c r="M699" i="1"/>
  <c r="N699" i="1"/>
  <c r="M700" i="1"/>
  <c r="N700" i="1"/>
  <c r="M701" i="1"/>
  <c r="N701" i="1"/>
  <c r="M702" i="1"/>
  <c r="N702" i="1"/>
  <c r="L703" i="1"/>
  <c r="N703" i="1"/>
  <c r="M704" i="1"/>
  <c r="N704" i="1"/>
  <c r="M705" i="1"/>
  <c r="N705" i="1"/>
  <c r="M706" i="1"/>
  <c r="N706" i="1"/>
  <c r="M707" i="1"/>
  <c r="N707" i="1"/>
  <c r="M708" i="1"/>
  <c r="N708" i="1"/>
  <c r="M709" i="1"/>
  <c r="N709" i="1"/>
  <c r="M710" i="1"/>
  <c r="N710" i="1"/>
  <c r="M711" i="1"/>
  <c r="N711" i="1"/>
  <c r="M712" i="1"/>
  <c r="N712" i="1"/>
  <c r="M713" i="1"/>
  <c r="N713" i="1"/>
  <c r="M714" i="1"/>
  <c r="N714" i="1"/>
  <c r="M715" i="1"/>
  <c r="N715" i="1"/>
  <c r="M716" i="1"/>
  <c r="N716" i="1"/>
  <c r="M717" i="1"/>
  <c r="N717" i="1"/>
  <c r="M718" i="1"/>
  <c r="N718" i="1"/>
  <c r="M719" i="1"/>
  <c r="L719" i="1"/>
  <c r="N719" i="1"/>
  <c r="M720" i="1"/>
  <c r="N720" i="1"/>
  <c r="M721" i="1"/>
  <c r="N721" i="1"/>
  <c r="M722" i="1"/>
  <c r="N722" i="1"/>
  <c r="M723" i="1"/>
  <c r="N723" i="1"/>
  <c r="M724" i="1"/>
  <c r="N724" i="1"/>
  <c r="M725" i="1"/>
  <c r="N725" i="1"/>
  <c r="M726" i="1"/>
  <c r="N726" i="1"/>
  <c r="M727" i="1"/>
  <c r="N727" i="1"/>
  <c r="M728" i="1"/>
  <c r="N728" i="1"/>
  <c r="M729" i="1"/>
  <c r="N729" i="1"/>
  <c r="M730" i="1"/>
  <c r="N730" i="1"/>
  <c r="M731" i="1"/>
  <c r="L731" i="1"/>
  <c r="N731" i="1"/>
  <c r="M732" i="1"/>
  <c r="N732" i="1"/>
  <c r="M733" i="1"/>
  <c r="N733" i="1"/>
  <c r="M734" i="1"/>
  <c r="N734" i="1"/>
  <c r="M735" i="1"/>
  <c r="N735" i="1"/>
  <c r="L736" i="1"/>
  <c r="N736" i="1"/>
  <c r="M737" i="1"/>
  <c r="N737" i="1"/>
  <c r="M738" i="1"/>
  <c r="N738" i="1"/>
  <c r="M739" i="1"/>
  <c r="N739" i="1"/>
  <c r="M740" i="1"/>
  <c r="N740" i="1"/>
  <c r="M741" i="1"/>
  <c r="L741" i="1"/>
  <c r="N741" i="1"/>
  <c r="M742" i="1"/>
  <c r="N742" i="1"/>
  <c r="M743" i="1"/>
  <c r="N743" i="1"/>
  <c r="M744" i="1"/>
  <c r="N744" i="1"/>
  <c r="M745" i="1"/>
  <c r="N745" i="1"/>
  <c r="M746" i="1"/>
  <c r="N746" i="1"/>
  <c r="M747" i="1"/>
  <c r="N747" i="1"/>
  <c r="M748" i="1"/>
  <c r="N748" i="1"/>
  <c r="M749" i="1"/>
  <c r="N749" i="1"/>
  <c r="M750" i="1"/>
  <c r="N750" i="1"/>
  <c r="M751" i="1"/>
  <c r="N751" i="1"/>
  <c r="M752" i="1"/>
  <c r="N752" i="1"/>
  <c r="M753" i="1"/>
  <c r="N753" i="1"/>
  <c r="M754" i="1"/>
  <c r="N754" i="1"/>
  <c r="M755" i="1"/>
  <c r="N755" i="1"/>
  <c r="M756" i="1"/>
  <c r="N756" i="1"/>
  <c r="M757" i="1"/>
  <c r="N757" i="1"/>
  <c r="M758" i="1"/>
  <c r="N758" i="1"/>
  <c r="M759" i="1"/>
  <c r="N759" i="1"/>
  <c r="M760" i="1"/>
  <c r="N760" i="1"/>
  <c r="M761" i="1"/>
  <c r="N761" i="1"/>
  <c r="M762" i="1"/>
  <c r="L762" i="1"/>
  <c r="N762" i="1"/>
  <c r="M763" i="1"/>
  <c r="L763" i="1"/>
  <c r="N763" i="1"/>
  <c r="M764" i="1"/>
  <c r="N764" i="1"/>
  <c r="M765" i="1"/>
  <c r="N765" i="1"/>
  <c r="M766" i="1"/>
  <c r="N766" i="1"/>
  <c r="M767" i="1"/>
  <c r="N767" i="1"/>
  <c r="M768" i="1"/>
  <c r="N768" i="1"/>
  <c r="M769" i="1"/>
  <c r="N769" i="1"/>
  <c r="M770" i="1"/>
  <c r="N770" i="1"/>
  <c r="M771" i="1"/>
  <c r="N771" i="1"/>
  <c r="M772" i="1"/>
  <c r="N772" i="1"/>
  <c r="M773" i="1"/>
  <c r="N773" i="1"/>
  <c r="M774" i="1"/>
  <c r="N774" i="1"/>
  <c r="M775" i="1"/>
  <c r="N775" i="1"/>
  <c r="M776" i="1"/>
  <c r="N776" i="1"/>
  <c r="M777" i="1"/>
  <c r="N777" i="1"/>
  <c r="M778" i="1"/>
  <c r="N778" i="1"/>
  <c r="M779" i="1"/>
  <c r="L779" i="1"/>
  <c r="N779" i="1"/>
  <c r="M780" i="1"/>
  <c r="N780" i="1"/>
  <c r="M781" i="1"/>
  <c r="N781" i="1"/>
  <c r="M782" i="1"/>
  <c r="N782" i="1"/>
  <c r="M783" i="1"/>
  <c r="N783" i="1"/>
  <c r="L784" i="1"/>
  <c r="N784" i="1"/>
  <c r="M785" i="1"/>
  <c r="N785" i="1"/>
  <c r="M786" i="1"/>
  <c r="N786" i="1"/>
  <c r="M787" i="1"/>
  <c r="N787" i="1"/>
  <c r="M788" i="1"/>
  <c r="N788" i="1"/>
  <c r="M789" i="1"/>
  <c r="N789" i="1"/>
  <c r="M790" i="1"/>
  <c r="N790" i="1"/>
  <c r="M791" i="1"/>
  <c r="N791" i="1"/>
  <c r="M792" i="1"/>
  <c r="N792" i="1"/>
  <c r="M793" i="1"/>
  <c r="N793" i="1"/>
  <c r="M794" i="1"/>
  <c r="N794" i="1"/>
  <c r="M795" i="1"/>
  <c r="N795" i="1"/>
  <c r="M796" i="1"/>
  <c r="N796" i="1"/>
  <c r="M797" i="1"/>
  <c r="N797" i="1"/>
  <c r="M798" i="1"/>
  <c r="N798" i="1"/>
  <c r="M799" i="1"/>
  <c r="N799" i="1"/>
  <c r="M800" i="1"/>
  <c r="N800" i="1"/>
  <c r="M801" i="1"/>
  <c r="N801" i="1"/>
  <c r="M802" i="1"/>
  <c r="L802" i="1"/>
  <c r="N802" i="1"/>
  <c r="M803" i="1"/>
  <c r="N803" i="1"/>
  <c r="M804" i="1"/>
  <c r="N804" i="1"/>
  <c r="M805" i="1"/>
  <c r="N805" i="1"/>
  <c r="M806" i="1"/>
  <c r="N806" i="1"/>
  <c r="M807" i="1"/>
  <c r="N807" i="1"/>
  <c r="M808" i="1"/>
  <c r="N808" i="1"/>
  <c r="M809" i="1"/>
  <c r="N809" i="1"/>
  <c r="M810" i="1"/>
  <c r="N810" i="1"/>
  <c r="M811" i="1"/>
  <c r="N811" i="1"/>
  <c r="M812" i="1"/>
  <c r="N812" i="1"/>
  <c r="M813" i="1"/>
  <c r="N813" i="1"/>
  <c r="M814" i="1"/>
  <c r="N814" i="1"/>
  <c r="M815" i="1"/>
  <c r="N815" i="1"/>
  <c r="M816" i="1"/>
  <c r="L816" i="1"/>
  <c r="N816" i="1"/>
  <c r="M817" i="1"/>
  <c r="N817" i="1"/>
  <c r="M818" i="1"/>
  <c r="L818" i="1"/>
  <c r="N818" i="1"/>
  <c r="M819" i="1"/>
  <c r="N819" i="1"/>
  <c r="M820" i="1"/>
  <c r="N820" i="1"/>
  <c r="M821" i="1"/>
  <c r="N821" i="1"/>
  <c r="M822" i="1"/>
  <c r="N822" i="1"/>
  <c r="M823" i="1"/>
  <c r="N823" i="1"/>
  <c r="M824" i="1"/>
  <c r="N824" i="1"/>
  <c r="M825" i="1"/>
  <c r="N825" i="1"/>
  <c r="M826" i="1"/>
  <c r="N826" i="1"/>
  <c r="M827" i="1"/>
  <c r="N827" i="1"/>
  <c r="M828" i="1"/>
  <c r="N828" i="1"/>
  <c r="M829" i="1"/>
  <c r="N829" i="1"/>
  <c r="M830" i="1"/>
  <c r="N830" i="1"/>
  <c r="M831" i="1"/>
  <c r="N831" i="1"/>
  <c r="M832" i="1"/>
  <c r="N832" i="1"/>
  <c r="M833" i="1"/>
  <c r="N833" i="1"/>
  <c r="M834" i="1"/>
  <c r="N834" i="1"/>
  <c r="M835" i="1"/>
  <c r="N835" i="1"/>
  <c r="M836" i="1"/>
  <c r="N836" i="1"/>
  <c r="M837" i="1"/>
  <c r="N837" i="1"/>
  <c r="M838" i="1"/>
  <c r="N838" i="1"/>
  <c r="M839" i="1"/>
  <c r="N839" i="1"/>
  <c r="M840" i="1"/>
  <c r="N840" i="1"/>
  <c r="M841" i="1"/>
  <c r="N841" i="1"/>
  <c r="M842" i="1"/>
  <c r="N842" i="1"/>
  <c r="M843" i="1"/>
  <c r="N843" i="1"/>
  <c r="M844" i="1"/>
  <c r="N844" i="1"/>
  <c r="M845" i="1"/>
  <c r="N845" i="1"/>
  <c r="M846" i="1"/>
  <c r="N846" i="1"/>
  <c r="M847" i="1"/>
  <c r="L847" i="1"/>
  <c r="N847" i="1"/>
  <c r="M848" i="1"/>
  <c r="N848" i="1"/>
  <c r="M849" i="1"/>
  <c r="N849" i="1"/>
  <c r="M850" i="1"/>
  <c r="N850" i="1"/>
  <c r="M851" i="1"/>
  <c r="N851" i="1"/>
  <c r="M852" i="1"/>
  <c r="N852" i="1"/>
  <c r="M853" i="1"/>
  <c r="N853" i="1"/>
  <c r="M854" i="1"/>
  <c r="N854" i="1"/>
  <c r="M855" i="1"/>
  <c r="N855" i="1"/>
  <c r="M856" i="1"/>
  <c r="N856" i="1"/>
  <c r="M857" i="1"/>
  <c r="N857" i="1"/>
  <c r="M858" i="1"/>
  <c r="N858" i="1"/>
  <c r="M859" i="1"/>
  <c r="N859" i="1"/>
  <c r="M860" i="1"/>
  <c r="N860" i="1"/>
  <c r="M861" i="1"/>
  <c r="N861" i="1"/>
  <c r="M862" i="1"/>
  <c r="N862" i="1"/>
  <c r="M863" i="1"/>
  <c r="L863" i="1"/>
  <c r="N863" i="1"/>
  <c r="M864" i="1"/>
  <c r="L864" i="1"/>
  <c r="N864" i="1"/>
  <c r="M865" i="1"/>
  <c r="N865" i="1"/>
  <c r="M866" i="1"/>
  <c r="N866" i="1"/>
  <c r="M867" i="1"/>
  <c r="N867" i="1"/>
  <c r="M868" i="1"/>
  <c r="N868" i="1"/>
  <c r="M869" i="1"/>
  <c r="N869" i="1"/>
  <c r="M870" i="1"/>
  <c r="N870" i="1"/>
  <c r="M871" i="1"/>
  <c r="L871" i="1"/>
  <c r="N871" i="1"/>
  <c r="M872" i="1"/>
  <c r="N872" i="1"/>
  <c r="M873" i="1"/>
  <c r="N873" i="1"/>
  <c r="M874" i="1"/>
  <c r="N874" i="1"/>
  <c r="L875" i="1"/>
  <c r="N875" i="1"/>
  <c r="M876" i="1"/>
  <c r="N876" i="1"/>
  <c r="M877" i="1"/>
  <c r="N877" i="1"/>
  <c r="M878" i="1"/>
  <c r="N878" i="1"/>
  <c r="M879" i="1"/>
  <c r="N879" i="1"/>
  <c r="M880" i="1"/>
  <c r="N880" i="1"/>
  <c r="M881" i="1"/>
  <c r="N881" i="1"/>
  <c r="M882" i="1"/>
  <c r="N882" i="1"/>
  <c r="M883" i="1"/>
  <c r="N883" i="1"/>
  <c r="M884" i="1"/>
  <c r="N884" i="1"/>
  <c r="M885" i="1"/>
  <c r="N885" i="1"/>
  <c r="M886" i="1"/>
  <c r="N886" i="1"/>
  <c r="M887" i="1"/>
  <c r="N887" i="1"/>
  <c r="M888" i="1"/>
  <c r="N888" i="1"/>
  <c r="M889" i="1"/>
  <c r="N889" i="1"/>
  <c r="M890" i="1"/>
  <c r="N890" i="1"/>
  <c r="M891" i="1"/>
  <c r="L891" i="1"/>
  <c r="N891" i="1"/>
  <c r="M892" i="1"/>
  <c r="N892" i="1"/>
  <c r="M893" i="1"/>
  <c r="N893" i="1"/>
  <c r="M894" i="1"/>
  <c r="N894" i="1"/>
  <c r="M895" i="1"/>
  <c r="L895" i="1"/>
  <c r="N895" i="1"/>
  <c r="M896" i="1"/>
  <c r="N896" i="1"/>
  <c r="M897" i="1"/>
  <c r="N897" i="1"/>
  <c r="M898" i="1"/>
  <c r="N898" i="1"/>
  <c r="M899" i="1"/>
  <c r="N899" i="1"/>
  <c r="M900" i="1"/>
  <c r="N900" i="1"/>
  <c r="M901" i="1"/>
  <c r="N901" i="1"/>
  <c r="M902" i="1"/>
  <c r="N902" i="1"/>
  <c r="M903" i="1"/>
  <c r="N903" i="1"/>
  <c r="M904" i="1"/>
  <c r="N904" i="1"/>
  <c r="M905" i="1"/>
  <c r="N905" i="1"/>
  <c r="M906" i="1"/>
  <c r="N906" i="1"/>
  <c r="M907" i="1"/>
  <c r="N907" i="1"/>
  <c r="M908" i="1"/>
  <c r="N908" i="1"/>
  <c r="M909" i="1"/>
  <c r="N909" i="1"/>
  <c r="M910" i="1"/>
  <c r="N910" i="1"/>
  <c r="M911" i="1"/>
  <c r="N911" i="1"/>
  <c r="M912" i="1"/>
  <c r="N912" i="1"/>
  <c r="M913" i="1"/>
  <c r="N913" i="1"/>
  <c r="M914" i="1"/>
  <c r="N914" i="1"/>
  <c r="M915" i="1"/>
  <c r="N915" i="1"/>
  <c r="M916" i="1"/>
  <c r="L916" i="1"/>
  <c r="N916" i="1"/>
  <c r="M917" i="1"/>
  <c r="N917" i="1"/>
  <c r="M918" i="1"/>
  <c r="N918" i="1"/>
  <c r="M919" i="1"/>
  <c r="L919" i="1"/>
  <c r="N919" i="1"/>
  <c r="M920" i="1"/>
  <c r="N920" i="1"/>
  <c r="M921" i="1"/>
  <c r="N921" i="1"/>
  <c r="M922" i="1"/>
  <c r="N922" i="1"/>
  <c r="M923" i="1"/>
  <c r="N923" i="1"/>
  <c r="M924" i="1"/>
  <c r="N924" i="1"/>
  <c r="M925" i="1"/>
  <c r="N925" i="1"/>
  <c r="M926" i="1"/>
  <c r="N926" i="1"/>
  <c r="M927" i="1"/>
  <c r="N927" i="1"/>
  <c r="M928" i="1"/>
  <c r="N928" i="1"/>
  <c r="M929" i="1"/>
  <c r="N929" i="1"/>
  <c r="M930" i="1"/>
  <c r="N930" i="1"/>
  <c r="M931" i="1"/>
  <c r="N931" i="1"/>
  <c r="M932" i="1"/>
  <c r="N932" i="1"/>
  <c r="M933" i="1"/>
  <c r="N933" i="1"/>
  <c r="M934" i="1"/>
  <c r="N934" i="1"/>
  <c r="M935" i="1"/>
  <c r="N935" i="1"/>
  <c r="M936" i="1"/>
  <c r="N936" i="1"/>
  <c r="M937" i="1"/>
  <c r="N937" i="1"/>
  <c r="M938" i="1"/>
  <c r="N938" i="1"/>
  <c r="M939" i="1"/>
  <c r="N939" i="1"/>
  <c r="M940" i="1"/>
  <c r="N940" i="1"/>
  <c r="M941" i="1"/>
  <c r="N941" i="1"/>
  <c r="M942" i="1"/>
  <c r="N942" i="1"/>
  <c r="M943" i="1"/>
  <c r="N943" i="1"/>
  <c r="M944" i="1"/>
  <c r="L944" i="1"/>
  <c r="N944" i="1"/>
  <c r="M945" i="1"/>
  <c r="N945" i="1"/>
  <c r="M946" i="1"/>
  <c r="N946" i="1"/>
  <c r="M947" i="1"/>
  <c r="N947" i="1"/>
  <c r="M948" i="1"/>
  <c r="L948" i="1"/>
  <c r="N948" i="1"/>
  <c r="M949" i="1"/>
  <c r="N949" i="1"/>
  <c r="M950" i="1"/>
  <c r="N950" i="1"/>
  <c r="M951" i="1"/>
  <c r="N951" i="1"/>
  <c r="M952" i="1"/>
  <c r="N952" i="1"/>
  <c r="M953" i="1"/>
  <c r="N953" i="1"/>
  <c r="M954" i="1"/>
  <c r="N954" i="1"/>
  <c r="M955" i="1"/>
  <c r="N955" i="1"/>
  <c r="M956" i="1"/>
  <c r="N956" i="1"/>
  <c r="M957" i="1"/>
  <c r="L957" i="1"/>
  <c r="N957" i="1"/>
  <c r="M958" i="1"/>
  <c r="N958" i="1"/>
  <c r="M959" i="1"/>
  <c r="N959" i="1"/>
  <c r="M960" i="1"/>
  <c r="N960" i="1"/>
  <c r="M961" i="1"/>
  <c r="N961" i="1"/>
  <c r="M962" i="1"/>
  <c r="N962" i="1"/>
  <c r="M963" i="1"/>
  <c r="N963" i="1"/>
  <c r="M964" i="1"/>
  <c r="N964" i="1"/>
  <c r="M965" i="1"/>
  <c r="L965" i="1"/>
  <c r="N965" i="1"/>
  <c r="M966" i="1"/>
  <c r="N966" i="1"/>
  <c r="M967" i="1"/>
  <c r="N967" i="1"/>
  <c r="M968" i="1"/>
  <c r="N968" i="1"/>
  <c r="L969" i="1"/>
  <c r="N969" i="1"/>
  <c r="M970" i="1"/>
  <c r="N970" i="1"/>
  <c r="M971" i="1"/>
  <c r="N971" i="1"/>
  <c r="M972" i="1"/>
  <c r="L972" i="1"/>
  <c r="N972" i="1"/>
  <c r="M973" i="1"/>
  <c r="N973" i="1"/>
  <c r="M974" i="1"/>
  <c r="N974" i="1"/>
  <c r="M975" i="1"/>
  <c r="N975" i="1"/>
  <c r="M976" i="1"/>
  <c r="N976" i="1"/>
  <c r="M977" i="1"/>
  <c r="N977" i="1"/>
  <c r="M978" i="1"/>
  <c r="N978" i="1"/>
  <c r="M979" i="1"/>
  <c r="N979" i="1"/>
  <c r="M980" i="1"/>
  <c r="N980" i="1"/>
  <c r="M981" i="1"/>
  <c r="N981" i="1"/>
  <c r="M982" i="1"/>
  <c r="N982" i="1"/>
  <c r="M983" i="1"/>
  <c r="N983" i="1"/>
  <c r="M984" i="1"/>
  <c r="N984" i="1"/>
  <c r="M985" i="1"/>
  <c r="L985" i="1"/>
  <c r="N985" i="1"/>
  <c r="M986" i="1"/>
  <c r="L986" i="1"/>
  <c r="N986" i="1"/>
  <c r="M987" i="1"/>
  <c r="N987" i="1"/>
  <c r="M988" i="1"/>
  <c r="N988" i="1"/>
  <c r="M989" i="1"/>
  <c r="N989" i="1"/>
  <c r="M990" i="1"/>
  <c r="N990" i="1"/>
  <c r="M991" i="1"/>
  <c r="L991" i="1"/>
  <c r="N991" i="1"/>
  <c r="M992" i="1"/>
  <c r="L992" i="1"/>
  <c r="N992" i="1"/>
  <c r="M993" i="1"/>
  <c r="N993" i="1"/>
  <c r="L994" i="1"/>
  <c r="N994" i="1"/>
  <c r="M995" i="1"/>
  <c r="N995" i="1"/>
  <c r="M996" i="1"/>
  <c r="L996" i="1"/>
  <c r="N996" i="1"/>
  <c r="M997" i="1"/>
  <c r="N997" i="1"/>
  <c r="M998" i="1"/>
  <c r="N998" i="1"/>
  <c r="M999" i="1"/>
  <c r="N999" i="1"/>
  <c r="M1000" i="1"/>
  <c r="N1000" i="1"/>
  <c r="M1001" i="1"/>
  <c r="N1001" i="1"/>
  <c r="M1002" i="1"/>
  <c r="N1002" i="1"/>
  <c r="M1003" i="1"/>
  <c r="N1003" i="1"/>
  <c r="M1004" i="1"/>
  <c r="N1004" i="1"/>
  <c r="L1005" i="1"/>
  <c r="N1005" i="1"/>
  <c r="M1006" i="1"/>
  <c r="N1006" i="1"/>
  <c r="M1007" i="1"/>
  <c r="N1007" i="1"/>
  <c r="M1008" i="1"/>
  <c r="N1008" i="1"/>
  <c r="M1009" i="1"/>
  <c r="N1009" i="1"/>
  <c r="M1010" i="1"/>
  <c r="N1010" i="1"/>
  <c r="M1011" i="1"/>
  <c r="N1011" i="1"/>
  <c r="M1012" i="1"/>
  <c r="N1012" i="1"/>
  <c r="M1013" i="1"/>
  <c r="N1013" i="1"/>
  <c r="M1014" i="1"/>
  <c r="N1014" i="1"/>
  <c r="M1015" i="1"/>
  <c r="N1015" i="1"/>
  <c r="M1016" i="1"/>
  <c r="N1016" i="1"/>
  <c r="M1017" i="1"/>
  <c r="N1017" i="1"/>
  <c r="M1018" i="1"/>
  <c r="N1018" i="1"/>
  <c r="M1019" i="1"/>
  <c r="N1019" i="1"/>
  <c r="M1020" i="1"/>
  <c r="N1020" i="1"/>
  <c r="M1021" i="1"/>
  <c r="N1021" i="1"/>
  <c r="M1022" i="1"/>
  <c r="N1022" i="1"/>
  <c r="M1023" i="1"/>
  <c r="L1023" i="1"/>
  <c r="N1023" i="1"/>
  <c r="M1024" i="1"/>
  <c r="L1024" i="1"/>
  <c r="N1024" i="1"/>
  <c r="M1025" i="1"/>
  <c r="L1025" i="1"/>
  <c r="N1025" i="1"/>
  <c r="M1026" i="1"/>
  <c r="N1026" i="1"/>
  <c r="M1027" i="1"/>
  <c r="N1027" i="1"/>
  <c r="M1028" i="1"/>
  <c r="N1028" i="1"/>
  <c r="M1029" i="1"/>
  <c r="L1029" i="1"/>
  <c r="N1029" i="1"/>
  <c r="M1030" i="1"/>
  <c r="N1030" i="1"/>
  <c r="M1031" i="1"/>
  <c r="N1031" i="1"/>
  <c r="M1032" i="1"/>
  <c r="N1032" i="1"/>
  <c r="M1033" i="1"/>
  <c r="L1033" i="1"/>
  <c r="N1033" i="1"/>
  <c r="M1034" i="1"/>
  <c r="N1034" i="1"/>
  <c r="M1035" i="1"/>
  <c r="N1035" i="1"/>
  <c r="M1036" i="1"/>
  <c r="L1036" i="1"/>
  <c r="N1036" i="1"/>
  <c r="M1037" i="1"/>
  <c r="N1037" i="1"/>
  <c r="M1038" i="1"/>
  <c r="L1038" i="1"/>
  <c r="N1038" i="1"/>
  <c r="M1039" i="1"/>
  <c r="N1039" i="1"/>
  <c r="M1040" i="1"/>
  <c r="N1040" i="1"/>
  <c r="M1041" i="1"/>
  <c r="N1041" i="1"/>
  <c r="M1042" i="1"/>
  <c r="N1042" i="1"/>
  <c r="M1043" i="1"/>
  <c r="N1043" i="1"/>
  <c r="M1044" i="1"/>
  <c r="N1044" i="1"/>
  <c r="M1045" i="1"/>
  <c r="N1045" i="1"/>
  <c r="M1046" i="1"/>
  <c r="N1046" i="1"/>
  <c r="M1047" i="1"/>
  <c r="L1047" i="1"/>
  <c r="N1047" i="1"/>
  <c r="M1048" i="1"/>
  <c r="N1048" i="1"/>
  <c r="M1049" i="1"/>
  <c r="N1049" i="1"/>
  <c r="M1050" i="1"/>
  <c r="N1050" i="1"/>
  <c r="M1051" i="1"/>
  <c r="N1051" i="1"/>
  <c r="M1052" i="1"/>
  <c r="N1052" i="1"/>
  <c r="M1053" i="1"/>
  <c r="N1053" i="1"/>
  <c r="M1054" i="1"/>
  <c r="L1054" i="1"/>
  <c r="N1054" i="1"/>
  <c r="M1055" i="1"/>
  <c r="N1055" i="1"/>
  <c r="M1056" i="1"/>
  <c r="N1056" i="1"/>
  <c r="M1057" i="1"/>
  <c r="N1057" i="1"/>
  <c r="M1058" i="1"/>
  <c r="N1058" i="1"/>
  <c r="M1059" i="1"/>
  <c r="L1059" i="1"/>
  <c r="N1059" i="1"/>
  <c r="M1060" i="1"/>
  <c r="L1060" i="1"/>
  <c r="N1060" i="1"/>
  <c r="M1061" i="1"/>
  <c r="N1061" i="1"/>
  <c r="M1062" i="1"/>
  <c r="N1062" i="1"/>
  <c r="M1063" i="1"/>
  <c r="N1063" i="1"/>
  <c r="M1064" i="1"/>
  <c r="N1064" i="1"/>
  <c r="M1065" i="1"/>
  <c r="N1065" i="1"/>
  <c r="M1066" i="1"/>
  <c r="N1066" i="1"/>
  <c r="M1067" i="1"/>
  <c r="N1067" i="1"/>
  <c r="M1068" i="1"/>
  <c r="N1068" i="1"/>
  <c r="M1069" i="1"/>
  <c r="N1069" i="1"/>
  <c r="M1070" i="1"/>
  <c r="N1070" i="1"/>
  <c r="M1071" i="1"/>
  <c r="N1071" i="1"/>
  <c r="M1072" i="1"/>
  <c r="N1072" i="1"/>
  <c r="M1073" i="1"/>
  <c r="N1073" i="1"/>
  <c r="M1074" i="1"/>
  <c r="N1074" i="1"/>
  <c r="M1075" i="1"/>
  <c r="N1075" i="1"/>
  <c r="M1076" i="1"/>
  <c r="N1076" i="1"/>
  <c r="M1077" i="1"/>
  <c r="N1077" i="1"/>
  <c r="M1078" i="1"/>
  <c r="N1078" i="1"/>
  <c r="M1079" i="1"/>
  <c r="N1079" i="1"/>
  <c r="M1080" i="1"/>
  <c r="N1080" i="1"/>
  <c r="M1081" i="1"/>
  <c r="N1081" i="1"/>
  <c r="M1082" i="1"/>
  <c r="N1082" i="1"/>
  <c r="M1083" i="1"/>
  <c r="N1083" i="1"/>
  <c r="M1084" i="1"/>
  <c r="N1084" i="1"/>
  <c r="M1085" i="1"/>
  <c r="N1085" i="1"/>
  <c r="M1086" i="1"/>
  <c r="N1086" i="1"/>
  <c r="M1087" i="1"/>
  <c r="N1087" i="1"/>
  <c r="M1088" i="1"/>
  <c r="N1088" i="1"/>
  <c r="M1089" i="1"/>
  <c r="N1089" i="1"/>
  <c r="M1090" i="1"/>
  <c r="N1090" i="1"/>
  <c r="M1091" i="1"/>
  <c r="N1091" i="1"/>
  <c r="M1092" i="1"/>
  <c r="N1092" i="1"/>
  <c r="M1093" i="1"/>
  <c r="N1093" i="1"/>
  <c r="M1094" i="1"/>
  <c r="L1094" i="1"/>
  <c r="N1094" i="1"/>
  <c r="M1095" i="1"/>
  <c r="N1095" i="1"/>
  <c r="M1096" i="1"/>
  <c r="L1096" i="1"/>
  <c r="N1096" i="1"/>
  <c r="M1097" i="1"/>
  <c r="L1097" i="1"/>
  <c r="N1097" i="1"/>
  <c r="M1098" i="1"/>
  <c r="N1098" i="1"/>
  <c r="M1099" i="1"/>
  <c r="N1099" i="1"/>
  <c r="M1100" i="1"/>
  <c r="N1100" i="1"/>
  <c r="M1101" i="1"/>
  <c r="N1101" i="1"/>
  <c r="M1102" i="1"/>
  <c r="N1102" i="1"/>
  <c r="M1103" i="1"/>
  <c r="N1103" i="1"/>
  <c r="M1104" i="1"/>
  <c r="N1104" i="1"/>
  <c r="M1105" i="1"/>
  <c r="N1105" i="1"/>
  <c r="M1106" i="1"/>
  <c r="N1106" i="1"/>
  <c r="M1107" i="1"/>
  <c r="N1107" i="1"/>
  <c r="M1108" i="1"/>
  <c r="N1108" i="1"/>
  <c r="M1109" i="1"/>
  <c r="N1109" i="1"/>
  <c r="M1110" i="1"/>
  <c r="N1110" i="1"/>
  <c r="M1111" i="1"/>
  <c r="N1111" i="1"/>
  <c r="M1112" i="1"/>
  <c r="N1112" i="1"/>
  <c r="M1113" i="1"/>
  <c r="N1113" i="1"/>
  <c r="M1114" i="1"/>
  <c r="N1114" i="1"/>
  <c r="M1115" i="1"/>
  <c r="N1115" i="1"/>
  <c r="M1116" i="1"/>
  <c r="N1116" i="1"/>
  <c r="M1117" i="1"/>
  <c r="N1117" i="1"/>
  <c r="M1118" i="1"/>
  <c r="N1118" i="1"/>
  <c r="M1119" i="1"/>
  <c r="N1119" i="1"/>
  <c r="M1120" i="1"/>
  <c r="N1120" i="1"/>
  <c r="M1121" i="1"/>
  <c r="N1121" i="1"/>
  <c r="M1122" i="1"/>
  <c r="N1122" i="1"/>
  <c r="M1123" i="1"/>
  <c r="N1123" i="1"/>
  <c r="M1124" i="1"/>
  <c r="N1124" i="1"/>
  <c r="M1125" i="1"/>
  <c r="L1125" i="1"/>
  <c r="N1125" i="1"/>
  <c r="M1126" i="1"/>
  <c r="N1126" i="1"/>
  <c r="L1127" i="1"/>
  <c r="N1127" i="1"/>
  <c r="M1128" i="1"/>
  <c r="N1128" i="1"/>
  <c r="M1129" i="1"/>
  <c r="L1129" i="1"/>
  <c r="N1129" i="1"/>
  <c r="M1130" i="1"/>
  <c r="N1130" i="1"/>
  <c r="M1131" i="1"/>
  <c r="N1131" i="1"/>
  <c r="M1132" i="1"/>
  <c r="N1132" i="1"/>
  <c r="M1133" i="1"/>
  <c r="N1133" i="1"/>
  <c r="M1134" i="1"/>
  <c r="L1134" i="1"/>
  <c r="N1134" i="1"/>
  <c r="M1135" i="1"/>
  <c r="L1135" i="1"/>
  <c r="N1135" i="1"/>
  <c r="M1136" i="1"/>
  <c r="N1136" i="1"/>
  <c r="M1137" i="1"/>
  <c r="N1137" i="1"/>
  <c r="M1138" i="1"/>
  <c r="N1138" i="1"/>
  <c r="M1139" i="1"/>
  <c r="N1139" i="1"/>
  <c r="M1140" i="1"/>
  <c r="N1140" i="1"/>
  <c r="M1141" i="1"/>
  <c r="N1141" i="1"/>
  <c r="M1142" i="1"/>
  <c r="N1142" i="1"/>
  <c r="M1143" i="1"/>
  <c r="N1143" i="1"/>
  <c r="M1144" i="1"/>
  <c r="N1144" i="1"/>
  <c r="M1145" i="1"/>
  <c r="N1145" i="1"/>
  <c r="M1146" i="1"/>
  <c r="N11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IntegrationReviewEmpirical2021-02-03" type="6" refreshedVersion="6" background="1" saveData="1">
    <textPr codePage="65001" sourceFile="/Users/jannis/Downloads/IntegrationReviewEmpirical2021-02-03.csv" tab="0" comma="1">
      <textFields count="18">
        <textField/>
        <textField/>
        <textField/>
        <textField/>
        <textField/>
        <textField type="YM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<sst xmlns="http://schemas.openxmlformats.org/spreadsheetml/2006/main" count="18391" uniqueCount="9953">
  <si>
    <t>Author</t>
  </si>
  <si>
    <t>ISSN</t>
  </si>
  <si>
    <t>ISBN</t>
  </si>
  <si>
    <t>Volume</t>
  </si>
  <si>
    <t>Issue</t>
  </si>
  <si>
    <t>DOI</t>
  </si>
  <si>
    <t>Publisher</t>
  </si>
  <si>
    <t>Subjects</t>
  </si>
  <si>
    <t>Keywords</t>
  </si>
  <si>
    <t>Abstract</t>
  </si>
  <si>
    <t>‘It’s a long way to the Super League’: The experiences of Australasian professional rugby league migrants in the United Kingdom.</t>
  </si>
  <si>
    <t>Evans, Adam B.; Stead, David E.</t>
  </si>
  <si>
    <t>International Review for the Sociology of Sport</t>
  </si>
  <si>
    <t>2014-51881-004</t>
  </si>
  <si>
    <t>10.1177/1012690212464700</t>
  </si>
  <si>
    <t>Sage Publications</t>
  </si>
  <si>
    <t>Journal Article</t>
  </si>
  <si>
    <t>Athletes; Experiences (Events); Human Migration; Sports; Globalization; Adulthood (18 yrs &amp; older); Young Adulthood (18-29 yrs); Thirties (30-39 yrs)</t>
  </si>
  <si>
    <t>This article investigates the embodied experiences of a group of professional sports labour migrants whose experiences have largely been ignored by sociological literature: southern hemisphere rugby players playing professional rugby league in the United Kingdom. The migrant pathway from Australasia to the UK is well established. Moreover, rugby league is a sport in which debate concerning the merits of employing labour migrants from Australasia is prevalent and ongoing. The study used interview and questionnaire data to investigate the embodied experiences facing this group of migrant professionals. Migrant experiences prior to migrating were contoured by access to resources and by the formal and informal relationships developed through professional and personal careers. The embodied and complex nature of contractual negotiations is highlighted. The centrality of embodied migrant identity and habitus is noted in relation to acculturation strategies adopted over time and space, both prior to and during a foreign sojourn, in terms of established and outsider groups. The paper also highlights how subgroups within a more general group of labour migrants can emerge. Furthermore, the complex influence of personal and professional relationships was found to be both enabling and constraining. These differences between subgroups are considered in light of previous work on acculturation strategies and the existential nature of migration. Future research requirements in the sports labour migration field are suggested. (PsycINFO Database Record (c) 2016 APA, all rights reserved)</t>
  </si>
  <si>
    <t>http://search.ebscohost.com.proxy-ub.rug.nl/login.aspx?direct=true&amp;db=psyh&amp;AN=2014-51881-004&amp;site=ehost-live&amp;scope=site</t>
  </si>
  <si>
    <t>12-month prevalence of DSM-III-R psychiatric disorders among Mexican Americans: Nativity, social assimilation, and age determinants.</t>
  </si>
  <si>
    <t>Vega, William A.; Sribney, William M.; Aguilar-Gaxiola, Sergio; Kolody, Bohdan</t>
  </si>
  <si>
    <t>Journal of Nervous and Mental Disease</t>
  </si>
  <si>
    <t>2004-17804-003</t>
  </si>
  <si>
    <t>10.1097/01.nmd.0000135477.57357.b2</t>
  </si>
  <si>
    <t>Lippincott Williams &amp; Wilkins</t>
  </si>
  <si>
    <t>Age Differences; Epidemiology; Mental Disorders; Mexican Americans; Social Integration; Adolescence (13-17 yrs); Adulthood (18 yrs &amp; older); Young Adulthood (18-29 yrs); Thirties (30-39 yrs); Middle Age (40-64 yrs); Male; Female</t>
  </si>
  <si>
    <t>The burden of disease attributable to mental illnesses has major costs and human services implications in the United States. Mexican Americans compose two thirds of the nation's largest and fastest-growing minority group, Latinos. We report 12-month DSM-III- R psychiatric disorder rates among Mexican Americans derived from a population survey of immigrants and US-born adults of Mexican origin conducted in rural and urban areas of central California. Rates of 12-month total mood, anxiety, and substance disorders were 14.2% for immigrant women, 12.6% for immigrant men, 27.8% for US-born women, and 27.2% for US-born men. For immigrants, younger age of entry and longer residence in the United States were associated with increased rates of psychiatric disorders. Three dominant explanations are reviewed to explain these differences: selection, social assimilation and stress, and measurement artifact. Our results and other research studies collectively support a social assimilation explanation based on aversive impact on health behaviors and protective resources such as families. Greater social assimilation increases psychiatric morbidity, with rates for subjects who are US-born of Mexican origin approximately the same as rates for the US general population. (PsycINFO Database Record (c) 2016 APA, all rights reserved)</t>
  </si>
  <si>
    <t>http://search.ebscohost.com.proxy-ub.rug.nl/login.aspx?direct=true&amp;db=psyh&amp;AN=2004-17804-003&amp;site=ehost-live&amp;scope=site</t>
  </si>
  <si>
    <t>A bidimensional model of acculturation for Korean American older adults.</t>
  </si>
  <si>
    <t>Jang, Yuri; Kim, Giyeon; Chiriboga, David; King-Kallimanis, Bellinda</t>
  </si>
  <si>
    <t>Journal of Aging Studies</t>
  </si>
  <si>
    <t>2007-10403-007</t>
  </si>
  <si>
    <t>10.1016/j.jaging.2006.10.004</t>
  </si>
  <si>
    <t>Elsevier Science</t>
  </si>
  <si>
    <t>Acculturation; Gerontology; Immigration; Korean Cultural Groups; Mental Health; Adulthood (18 yrs &amp; older); Aged (65 yrs &amp; older); Male; Female</t>
  </si>
  <si>
    <t>With the growth of immigrant populations and the increasing awareness and appreciation for the cultural diversity in the U.S., the present study assessed a model of acculturation with a sample of Korean American older adults. We addressed a bidimensional model of acculturation, considering both orientations toward home and host cultures, and assessed the relevance of Berry's four-cell typology of acculturation (integration, assimilation, separation, and marginalization). Based on the unique characteristics of the present sample, including that they were all born in Korea and had been exposed to their home culture for a substantial amount of time, we hypothesized that their orientation towards original culture would be strong and that simple application of Berry's four-cell typology would not be relevant. As expected, scores on Korean orientation were distributed toward the high end of the scale, suggesting a high level of familiarity and adherence to the original culture; scores on American orientation were correspondingly low. Cluster analysis showed that a two-cluster model was an optimal group classification in the sample used in this investigation. The groups were identified as 'integrated group' and 'separated group.' Compared to the separated group, integrated group was more likely to be younger, married, and educated. More years of residence in the U.S. and better physical and mental health were observed among those who were integrated. The findings call attention to the needs to consider the unique nature of immigrant samples in order to adequately apply the acculturation typologies. (PsycINFO Database Record (c) 2017 APA, all rights reserved)</t>
  </si>
  <si>
    <t>http://search.ebscohost.com.proxy-ub.rug.nl/login.aspx?direct=true&amp;db=psyh&amp;AN=2007-10403-007&amp;site=ehost-live&amp;scope=site</t>
  </si>
  <si>
    <t>A bi-national comparative study of health behaviors of Koreans in South Korea and Korean Americans in California.</t>
  </si>
  <si>
    <t>Ryu, So Yeon; Crespi, Catherine M.; Maxwell, Annette E.</t>
  </si>
  <si>
    <t>Journal of Immigrant and Minority Health</t>
  </si>
  <si>
    <t>2013-39701-009</t>
  </si>
  <si>
    <t>Springer</t>
  </si>
  <si>
    <t>Acculturation; Health Attitudes; Health Behavior; Korean Cultural Groups; Adulthood (18 yrs &amp; older); Young Adulthood (18-29 yrs); Thirties (30-39 yrs); Middle Age (40-64 yrs); Aged (65 yrs &amp; older); Male; Female</t>
  </si>
  <si>
    <t>Few studies have compared health behaviors of Koreans in their home country and Korean Americans. Using 2009 data from the Community Health Survey (South Korea) and the California Health Interview Survey (USA), we compared native Koreans and Korean Americans, grouped by level of acculturation, on prevalence of specific health behaviors and self-rated health, and conducted multiple logistic regression comparing the odds of these behaviors among the groups adjusted for demographic variables. While Korean Americans exhibit healthier behaviors than Koreans in some areas (e.g., reduced smoking and binge drinking in men, increased utilization of flu vaccinations), we also identified problem behaviors (e.g., increased body weight in Korean American men, uptake of alcohol drinking and smoking among Korean American women). Findings support the critical need for health promotion programs addressing these health behaviors to prevent future health problems among Korean Americans. (PsycINFO Database Record (c) 2016 APA, all rights reserved)</t>
  </si>
  <si>
    <t>http://search.ebscohost.com.proxy-ub.rug.nl/login.aspx?direct=true&amp;db=psyh&amp;AN=2013-39701-009&amp;site=ehost-live&amp;scope=site</t>
  </si>
  <si>
    <t>A Comparison of HIV-Related Factors Among Seropositive Brazilian, South American, and Puerto Rican Gay Men in the United States.</t>
  </si>
  <si>
    <t>Bianchi, Fernanda; Reisen, Carol A.; Zea, Maria Cecilia; Poppen, Paul P.; Echeverry, John J.</t>
  </si>
  <si>
    <t>Hispanic Journal of Behavioral Sciences</t>
  </si>
  <si>
    <t>2006-09324-008</t>
  </si>
  <si>
    <t>10.1177/0739986306291127</t>
  </si>
  <si>
    <t>Acculturation; HIV; Male Homosexuality; Risk Factors; Sexual Risk Taking; Demographic Characteristics; Immigration; Latinos/Latinas; Adulthood (18 yrs &amp; older); Young Adulthood (18-29 yrs); Thirties (30-39 yrs); Middle Age (40-64 yrs); Male</t>
  </si>
  <si>
    <t>Latino men who have sex with men are a group at high risk for HIV infection. Much of the research addressing attitudes and behaviors related to HIV among Latinos in the United States has overlooked differences based on nationality. Brazilian immigrants, in particular, are an understudied subgroup of Latinos. This study compared HIV-positive Brazilian gay men (n = 75) with their Spanish-speaking counterparts from South America (n = 103) and Puerto Rico (n = 61) on a variety of HIV-related factors. Results failed to reveal any significant group differences in disclosure of serostatus or in behaviors relevant to sexual risk. Some differences in demographic characteristics, reasons for immigration, and acculturation, however, did emerge among the three groups. Implications for aggregation of Latino subgroups in HIV-related programs are discussed. (PsycINFO Database Record (c) 2016 APA, all rights reserved)</t>
  </si>
  <si>
    <t>http://search.ebscohost.com.proxy-ub.rug.nl/login.aspx?direct=true&amp;db=psyh&amp;AN=2006-09324-008&amp;site=ehost-live&amp;scope=site</t>
  </si>
  <si>
    <t>A cross-cultural analysis of the demand-withdraw marital interaction: Observing couples from a developing country.</t>
  </si>
  <si>
    <t>Rehman, Uzma S.; Holtzworth-Munroe, Amy</t>
  </si>
  <si>
    <t>Journal of Consulting and Clinical Psychology</t>
  </si>
  <si>
    <t>2006-09621-013</t>
  </si>
  <si>
    <t>10.1037/0022-006X.74.4.755</t>
  </si>
  <si>
    <t>American Psychological Association</t>
  </si>
  <si>
    <t>Cross Cultural Differences; Interpersonal Communication; Marital Relations; Sex Roles; Theories; Male; Female</t>
  </si>
  <si>
    <t>The authors used cross-cultural methodology to examine the demand-withdraw pattern of marital communication. In Western countries, women usually make more demands, whereas men are more likely to withdraw. But the recently advanced marital structure hypothesis suggests that this pattern can be altered by gender roles and beliefs, particularly in traditional marriages. To test such hypotheses, the authors conducted an observational study of marital communication across very different cultures, with varying levels of patriarchy (i.e., 50 White American couples, 52 Pakistani couples in Pakistan, and 48 immigrant Pakistani couples in America). Across cultures, demand-withdraw communication was related to marital distress, extending previous findings to new groups. However, the findings challenge the notion that demanding and withdrawing behaviors are inherently male or female; rather, the results point to the relevance of contextual factors, specifically gender power differences and acculturation, in understanding the demand-withdraw marital interaction pattern. Therapists working with foreign or immigrant couples must consider the cross-cultural generalizability of existing theories of marital communication. (PsycINFO Database Record (c) 2016 APA, all rights reserved)</t>
  </si>
  <si>
    <t>http://search.ebscohost.com.proxy-ub.rug.nl/login.aspx?direct=true&amp;db=psyh&amp;AN=2006-09621-013&amp;site=ehost-live&amp;scope=site</t>
  </si>
  <si>
    <t>A cross-cultural study of hwa-byung with middle-aged women between native koreans in south korea and korean immigrants in the united states.</t>
  </si>
  <si>
    <t>Lee, Jee Hyang</t>
  </si>
  <si>
    <t>Dissertation Abstracts International Section A: Humanities and Social Sciences</t>
  </si>
  <si>
    <t>2-A(E)</t>
  </si>
  <si>
    <t>2015-99150-475</t>
  </si>
  <si>
    <t>ProQuest Information &amp; Learning</t>
  </si>
  <si>
    <t>Dissertation</t>
  </si>
  <si>
    <t>Age Differences; Cross Cultural Differences; Human Sex Differences; Immigration; Anger; Diagnostic and Statistical Manual; Human Females; Mental Disorders; South Asian Cultural Groups; Stress; Adulthood (18 yrs &amp; older)</t>
  </si>
  <si>
    <t>Hwa-Byung, known as an anger illness, was conceptualized in Korean culture and listed in the glossary under Culture-Bound Syndromes in the Diagnostic and Statistical Manual of Mental Disorders (4th ed.; DSM-IV; American Psychiatric Association, 1994). Hwa-Byung develops when the emotions of anger have been suppressed for a long period of time and it becomes difficult to control those feelings. Common complaints of Hwa-Byung have two dimensions, psychological and physical symptoms. The prevalence of Hwa-Byung exhibits gender differences in that the majority of individuals who experience Hwa-Byung are women between the ages of 40 and 60. However, as the number of Korean immigrants in the United States continues to increase and their issues draw attention from researchers, the topic of Hwa-Byung receives little. Because Korean immigrants in the United States share a cultural background with their origin of ethnicity, and at the same time, may also assimilate the American culture during the acculturation process, this study will address the cultural differences in Hwa-Byung between native Koreans who live in South Korea and Korean immigrants in the United States. Accordingly, the purpose of this study was to examine the differences and similarities of Hwa-Byung in native Korean middle-aged women in South Korea and Korean immigrants in the United States, roughly between the age range of late-30's to middle 60's, by investigating the influencing factors of stressful life events, stress response, anger expression, and demographic background. A sample size of at least 200 participants, required for each group, using both paper-pencil and web-based methods, depended on participants' preferences, which were influenced by a gap in ages and the level of familiarity with and/or ability to access Internet. Participants were randomly selected from major cities, both in South Korea (including Seoul, Incheon, Busan, Daejeon, and Gyeonggi Province) and the United States (including Chicago, New York, and Los Angeles), using similar proportions of ages for both groups for the equivalences of participants in cross-cultural research. Survey measures included five instruments: (a) the Hwa-Byung scale (Kwon, Kim, Park, Lee, Min, &amp; Kwon, 2008); (b) Life Stress for Korean women (Chon &amp; Kim, 2003); (c) stress response inventory (SRI) (Koh, Park, &amp; Kim, 2000); (d) anger expression (Hahn, Chon, Lee, &amp; Spielberger, 1997), and (e) demographic background that measured the variables used in this study. To minimize the weakness of language differences used in the different cultural contexts, survey packages for Korean immigrant participants in the United States were formatted in both Korean and English for each item. Thus, a translation process became necessary, especially for the Korean instruments of the Hwa-Byung Scale, Life Stress for Korean women and Stress Response Inventory (SRI), from Korean into Englishtwo of which were (originally developed by Korean researchers) . On the other hand, native Koreans submitted only the Korean version of questionnaires because they fully understood the meaning of questionnaire statements, as well as in order to get rid of possible distractions by the inclusion of English sentences. (PsycINFO Database Record (c) 2016 APA, all rights reserved)</t>
  </si>
  <si>
    <t>http://search.ebscohost.com.proxy-ub.rug.nl/login.aspx?direct=true&amp;db=psyh&amp;AN=2015-99150-475&amp;site=ehost-live&amp;scope=site</t>
  </si>
  <si>
    <t>A cross-national and cross-generational study of consumer acculturation to advertising appeals.</t>
  </si>
  <si>
    <t>Jimenez, Fernando R.; Hadjimarcou, John; Barua, Maria E.; Michie, Donald A.</t>
  </si>
  <si>
    <t>International Marketing Review</t>
  </si>
  <si>
    <t>2013-30823-001</t>
  </si>
  <si>
    <t>10.1108/IMR-02-2012-0020</t>
  </si>
  <si>
    <t>Emerald Group Publishing Limited</t>
  </si>
  <si>
    <t>Acculturation; Consumer Behavior; Marketing; Advertising; Cross Cultural Differences; Immigration; Strategies; Adulthood (18 yrs &amp; older); Young Adulthood (18-29 yrs); Thirties (30-39 yrs); Middle Age (40-64 yrs); Male; Female</t>
  </si>
  <si>
    <t>Purpose: Previous research on global marketing has typically focussed on marketing strategies across national markets. Yet, the cross-national mobility of individuals has increased heterogeneity within country markets. The purpose of this study is to examine how immigrant consumers perceive advertising appeals in the context of the consumer acculturation process. Specifically, our study focusses on the reactions of Mexican, American, and Mexican-American consumers to puffery-laden advertisements. Design/methodology/approach: Using two-factor theory as our theoretical prism, the study offers salient hypotheses regarding consumer perceptions of puffery-laden advertising appeals, which are then tested in a cross-national experiment in the USA and Mexico. Findings: The results show that Mexican consumers are more susceptible to puffery-laden claims than Americans. In contrast, American consumers are more susceptible to advertising that does not contain puffery-laden claims than their Mexican counterparts. Interestingly, the findings also reveal that Mexican immigrants are highly susceptible to both, puffery-laden and no puffery appeals. The mixed results show that recent Mexican immigrants struggle as they transition to the dominant American consumer culture. First and second generations of Mexican-Americans, however, react to puffery-laden advertisements just as typical American consumers. Practical implications: The paper discusses relevant implications not only for the study of puffery and acculturation of immigrant minority groups, but also for companies engaged in global advertising campaigns in countries with diverse immigrant communities. Originality/value: The paper offers a worthwhile and unique examination of consumer acculturation in an international cross-cultural setting and puts forward interesting insights regarding the application of international advertising strategies. (PsycINFO Database Record (c) 2017 APA, all rights reserved)</t>
  </si>
  <si>
    <t>http://search.ebscohost.com.proxy-ub.rug.nl/login.aspx?direct=true&amp;db=psyh&amp;AN=2013-30823-001&amp;site=ehost-live&amp;scope=site</t>
  </si>
  <si>
    <t>A cross-sectional study of coping resources and mental health of Chinese older adults in the United States.</t>
  </si>
  <si>
    <t>Guo, Man; Steinberg, Nadia Sabbagh; Dong, Xinqi; Tiwari, Agnes</t>
  </si>
  <si>
    <t>Aging &amp; Mental Health</t>
  </si>
  <si>
    <t>2019-07026-007</t>
  </si>
  <si>
    <t>10.1080/13607863.2017.1364345</t>
  </si>
  <si>
    <t>Taylor &amp; Francis</t>
  </si>
  <si>
    <t>Aging; Coping Behavior; Protective Factors; Social Support; Anxiety; Major Depression; Test Construction; Adulthood (18 yrs &amp; older); Middle Age (40-64 yrs); Aged (65 yrs &amp; older); Very Old (85 yrs &amp; older); Male; Female</t>
  </si>
  <si>
    <t>Objectives: This study examined the potential influence of coping resources at individual (sense of mastery), family (spousal and family support, children's filial piety), and community levels (community cohesion) on the mental health (depression, anxiety) of U.S. Chinese older adults. Methods: The data were derived from the Population Study of Chinese Elderly in Chicago (N = 3,159). Negative binomial regressions were performed to predict depression and anxiety, respectively, by entering the three sets of coping resources separately and jointly, controlling for socio-demographic and acculturation variables. Results: Stronger sense of mastery and greater perception of children's filial piety were associated with better mental health outcomes. Spousal support was not associated with any mental health outcomes, and family support was actually associated with greater depression and anxiety. Stronger community cohesion was associated with fewer depressive symptoms but greater anxiety. Conclusion: Older immigrants’ sense of control and perception that children adhere to traditional family norms are important mental health protective factors. Whereas depending on families for support may compromise their well-being, community cohesion could be a double-edged sword for their mental health. Future studies shall further disentangle the associations among sense of mastery, reliance on family and ethnic enclaves for support, and older immigrants’ well-being. (PsycINFO Database Record (c) 2019 APA, all rights reserved)</t>
  </si>
  <si>
    <t>http://search.ebscohost.com.proxy-ub.rug.nl/login.aspx?direct=true&amp;db=psyh&amp;AN=2019-07026-007&amp;site=ehost-live&amp;scope=site</t>
  </si>
  <si>
    <t>A culturally relevant conceptualization of depression: An empirical examination of the factorial structure of the Vietnamese Depression Scale.</t>
  </si>
  <si>
    <t>Dinh, Tam Q.; Yamada, Ann Marie; Yee, Barbara W. K.</t>
  </si>
  <si>
    <t>International Journal of Social Psychiatry</t>
  </si>
  <si>
    <t>2009-20721-002</t>
  </si>
  <si>
    <t>10.1177/0020764008091675</t>
  </si>
  <si>
    <t>Concept Formation; Major Depression; Psychometrics; Rating Scales; Refugees; Psychosocial Factors; Risk Factors; Sociocultural Factors; Test Reliability; Adulthood (18 yrs &amp; older); Young Adulthood (18-29 yrs); Thirties (30-39 yrs); Middle Age (40-64 yrs); Aged (65 yrs &amp; older); Very Old (85 yrs &amp; older); Male; Female</t>
  </si>
  <si>
    <t>Background: Despite the high risk of depression among Vietnamese refugees, there has been insufficient attention to the psychometric properties of the most utilized scale, the Vietnamese Depression Scale (VDS: Kinzie et al., 1982). Aim: The primary aim of the study is to empirically derive the factorial structure of the VDS to support its use as a culturally responsive depression screening tool in community samples of Vietnamese adults. Method: The factorial structure, reliability, and associations of the VDS factors with recognized socio-demographic correlates were examined using data collected from interviews with a non-probability community sample of 180 Vietnamese refugee adults in the Houston area. Results: The empirically derived factorial structure of the VDS approximated the theorized conceptualization of depression introduced by the scale’s originators. Three factors (depressed affect, somatic symptoms, and cultural-specific symptoms) accounted for 65% of the variance. As hypothesized, the VDS factors correlated with age and acculturation variables. Conclusion: Overall results suggest that the conceptualization of depression among this sample of Vietnamese refugees has both universal and culturally specific features. Implications for providing culturally responsive mental health services are offered. (PsycINFO Database Record (c) 2016 APA, all rights reserved)</t>
  </si>
  <si>
    <t>http://search.ebscohost.com.proxy-ub.rug.nl/login.aspx?direct=true&amp;db=psyh&amp;AN=2009-20721-002&amp;site=ehost-live&amp;scope=site</t>
  </si>
  <si>
    <t>A decade later: The mental health picture of Bosnian refugees living in the United States.</t>
  </si>
  <si>
    <t>Siwiec, Azra Karajic</t>
  </si>
  <si>
    <t>Dissertation Abstracts International: Section B: The Sciences and Engineering</t>
  </si>
  <si>
    <t>2-B</t>
  </si>
  <si>
    <t>2012-99160-028</t>
  </si>
  <si>
    <t>Acculturation; Major Depression; Mental Health; Refugees; Adjustment; Trauma</t>
  </si>
  <si>
    <t>The purpose of this study was to assess how Bosnian refugees are adjusting to life in the United States after a decade or more upon resettlement from Bosnia to the U.S. Study participants (N = 166) completed a demographic questionnaire and instruments related to depression (Centre for Epidemiologic Studies-Depression Scale), trauma (Impact of Events Scale-Revised), and acculturation ( The Language Identity and Behavior Scale). The results indicate there is no relationship between depression and acculturation nor is there evidence to support the relationship between trauma and acculturation. The participants reported non-significant levels of depression and trauma contrary to past research findings (Craig et al., 2008; Miller et al., 2002). Future research recommendations for mental health and acculturative aspects of Bosnian refugees are discussed and implications for counseling and training are provided. Limitations of this study are also discussed. (PsycINFO Database Record (c) 2016 APA, all rights reserved)</t>
  </si>
  <si>
    <t>http://search.ebscohost.com.proxy-ub.rug.nl/login.aspx?direct=true&amp;db=psyh&amp;AN=2012-99160-028&amp;site=ehost-live&amp;scope=site</t>
  </si>
  <si>
    <t>A developmental perspective in mental health services use among adults with mental disorders.</t>
  </si>
  <si>
    <t>Huỳnh, Christophe; Caron, Jean; Pelletier, Marilou; Liu, Aihua; Fleury, Marie-Josée</t>
  </si>
  <si>
    <t>The Journal of Behavioral Health Services &amp; Research</t>
  </si>
  <si>
    <t>2017-32224-001</t>
  </si>
  <si>
    <t>10.1007/s11414-017-9562-y</t>
  </si>
  <si>
    <t>Adult Development; Developmental Stages; Health Care Utilization; Mental Disorders; Mental Health Services; Age Differences; Test Construction; Adolescence (13-17 yrs); Adulthood (18 yrs &amp; older); Young Adulthood (18-29 yrs); Thirties (30-39 yrs); Middle Age (40-64 yrs); Aged (65 yrs &amp; older); Male; Female</t>
  </si>
  <si>
    <t>This study examined factors associated with mental health services (MHS) use by individuals with mental disorders within a developmental perspective of adulthood. Bivariate and multivariate analyses were conducted separately for each developmental stage on independent variables using the Andersen’s behavioral health service model. For 18–29-year-old emerging adults (n = 141), autonomy, daily life/relations, Internet searching, alcohol dependence, cognitive impulsiveness, number of stressful events, and self-harm were associated with MHS use. For 30–49-year olds (n = 292), being female, country of origin, being on welfare, social integration, Internet searching, and number of stressful events were associated with MHS use. For 50–64-year-old middle-aged adults (n = 126), current occupation was associated with MHS use. Developing online resources for emerging adults may increase MHS use. For 30–49-year olds, outreach should target male, immigrants, and individuals less socially integrated and on welfare. For middle-aged adults, workplace programs that reduce stigma and offer psychological help could increase MHS use. (PsycInfo Database Record (c) 2020 APA, all rights reserved)</t>
  </si>
  <si>
    <t>http://search.ebscohost.com.proxy-ub.rug.nl/login.aspx?direct=true&amp;db=psyh&amp;AN=2017-32224-001&amp;site=ehost-live&amp;scope=site</t>
  </si>
  <si>
    <t>A dual-process motivational model of acculturation behaviors and adaptation outcomes.</t>
  </si>
  <si>
    <t>Recker, Claudia; Milfont, Taciano L.; Ward, Colleen</t>
  </si>
  <si>
    <t>Universitas Psychologica</t>
  </si>
  <si>
    <t>2018-19571-006</t>
  </si>
  <si>
    <t>Pontificia Universidad Javeriana</t>
  </si>
  <si>
    <t>Acculturation; Immigration; Models; Motivation; Social Adjustment; Racial and Ethnic Differences; Adulthood (18 yrs &amp; older); Male; Female</t>
  </si>
  <si>
    <t>There is a lack of acculturation research on the motivations underpinning the behaviors of immigrants, which influence how they adapt in their new country of residence. The authors suggest that Motivation for Cultural Maintenance (MCM) and Motivation for Cultural Exploration (MCE) influence acculturation behaviors of immigrants and that these acculturation behaviors, in turn, impact psychological and sociocultural adaptation. The present research investigates a dual-process model based on the relationships between these novel motivations, acculturation behavior of connections with ethnic/national peers, and psychological and sociocultural adaptation in a New Zealand immigrant sample (N = 280, 64.6% female, M age = 39 years). Results from structural equation modeling largely support the proposed dual-process model and demonstrate that the novel motivations have predictive power. MCM predicted psychological adaptation through ethnic peer connections, whereas MCE and national peer connections predicted sociocultural adaptation directly. Implications of the findings and how the proposed dual-process model can contribute to the acculturation literature are discussed. (PsycINFO Database Record (c) 2018 APA, all rights reserved)</t>
  </si>
  <si>
    <t>http://search.ebscohost.com.proxy-ub.rug.nl/login.aspx?direct=true&amp;db=psyh&amp;AN=2018-19571-006&amp;site=ehost-live&amp;scope=site</t>
  </si>
  <si>
    <t>A health survey of a colonia located on the West Texas, US/Mexico border.</t>
  </si>
  <si>
    <t>Anders, Robert L.; Olson, Thomas; Robinson, Kris; Wiebe, John; DiGregorio, Rena; Guillermina, Mina; Albrechtsen, Justin; Bean, Nathaniel H.; Ortiz, Melchor</t>
  </si>
  <si>
    <t>2010-08843-010</t>
  </si>
  <si>
    <t>10.1007/s10903-008-9186-7</t>
  </si>
  <si>
    <t>Health Behavior; Quality of Life; Health Disparities; Health; Adulthood (18 yrs &amp; older); Male; Female</t>
  </si>
  <si>
    <t>Little is known about how health disparities affect the health status and general health perceptions of Hispanics living in Texas colonias. The purpose of this study was to conduct a health survey of residents (n = 216) of a colonia community on the border between El Paso, Texas and Juarez, Mexico. Instruments used in this study included a researcher developed demographic questionnaire, the Short Acculturation Scale for Hispanics (SASH), Cutting down, Annoyance by criticism, Guilty feeling and Eye-openers (CAGE) for alcohol consumption, and the Short Form version 2 (SF36v2) health survey. Study findings show the average participant was approximately 42 years old, attained an average of 9.6 years of education, earned an average annual household income of $17,575 and had an average SASH score of 25.4. SASH scores range from 12 to 60, with higher scores suggesting higher levels of American acculturation. Findings from this health survey suggest the average resident of the colonia may have health disadvantages when compared to residents from other parts of El Paso and Texas. Binge drinking was self-reported by 13.4% of all participants; with 5.6% having a CAGE score greater than 2 (indicating an increased propensity towards problems with alcohol). The self-report rates of diabetes, depression and anxiety were 15.3%, 20.4% and 16.7% respectively. The SF36v2 composite functional health status scores mirrored the national norms. (PsycINFO Database Record (c) 2016 APA, all rights reserved)</t>
  </si>
  <si>
    <t>http://search.ebscohost.com.proxy-ub.rug.nl/login.aspx?direct=true&amp;db=psyh&amp;AN=2010-08843-010&amp;site=ehost-live&amp;scope=site</t>
  </si>
  <si>
    <t>A latent class analysis of acculturation and depressive symptoms among Latino immigrants: Examining the role of social support.</t>
  </si>
  <si>
    <t>Bulut, Elif; Gayman, Mathew D.</t>
  </si>
  <si>
    <t>International Journal of Intercultural Relations</t>
  </si>
  <si>
    <t>2020-32456-003</t>
  </si>
  <si>
    <t>10.1016/j.ijintrel.2020.02.002</t>
  </si>
  <si>
    <t>Acculturation; Immigration; Mental Health; Social Support; Latinos/Latinas; Major Depression; Symptoms; Adulthood (18 yrs &amp; older); Male; Female</t>
  </si>
  <si>
    <t>Drawing upon Berry’s (1980) bi-dimensional model of acculturation and using data from a community-based sample of adults in Miami-Dade, Florida, the current investigation compared various immigrant acculturation profiles in their levels of depressive symptoms and assessed the mediating role of social support in explaining mental health differences across these acculturation profiles. Latent class analysis specified separated, partial separated, bicultural and marginal profiles of acculturation among Latino immigrants. Notably, our findings identified a small, albeit significant, marginal class among Latino immigrants, and both bivariate and multivariate findings demonstrated that those in marginal class reported the poorest mental health. Our findings further revealed that the observed mental health disadvantage among the marginal class relative to other immigrants was due to their disadvantage in family support . Overall, this investigation further underscores the importance of family support as an element of immigrant acculturation experience and mental health. From a policy perspective, social support, specifically family support, is critical for immigrant mental health, and a lack of family support may increase the risk for developing a marginal experience and mental health problems among a growing population of Latino immigrants in the United States. (PsycInfo Database Record (c) 2020 APA, all rights reserved)</t>
  </si>
  <si>
    <t>http://search.ebscohost.com.proxy-ub.rug.nl/login.aspx?direct=true&amp;db=psyh&amp;AN=2020-32456-003&amp;site=ehost-live&amp;scope=site</t>
  </si>
  <si>
    <t>A Latino advantage in oral health-related quality of life is modified by nativity status.</t>
  </si>
  <si>
    <t>Sanders, Anne E.</t>
  </si>
  <si>
    <t>Social Science &amp; Medicine</t>
  </si>
  <si>
    <t>2010-12676-027</t>
  </si>
  <si>
    <t>10.1016/j.socscimed.2010.03.031</t>
  </si>
  <si>
    <t>Immigration; Quality of Life; Social Class; Oral Health; Latinos/Latinas; Acculturation; Racial and Ethnic Differences; Socioeconomic Status; Health Disparities; Health Related Quality of Life; Adulthood (18 yrs &amp; older); Thirties (30-39 yrs); Middle Age (40-64 yrs); Aged (65 yrs &amp; older); Male; Female</t>
  </si>
  <si>
    <t>Explanations for the social gradient in health status are informed by the rare exceptions. This cross-sectional observational study examined one such exception, the 'Latino paradox' by investigating the presence of a Latino advantage in oral health-related quality of life and the effect of nativity status on this relationship. A nationally representative sample of adults (n = 4208) completed the National Health and Nutrition Examination Survey (NHANES) 2003-2004. The impact of oral disorders on oral health-related quality of life was evaluated using the NHANES Oral Health Impact Profile. Exposures of interest were race, ethnicity and nativity status. Covariates included sociodemographic characteristics, smoking status, self-rated health, access to dental care and number of teeth. Unconditional logistic regression models estimated odds of impaired oral health-related quality of life for racial/ethnic and nativity groups compared to the Non-Latino white population. Overall, prevalence of impaired oral health-related quality of life was 15.1%. A protective effect of Latino ethnicity was modified by nativity status, such that Latino immigrants experienced substantially better outcomes than non-Latino whites. However, the effect was limited to first-generation Latinos. U.S. born Latinos did not share the oral health-related quality of life advantage of their foreign-born counterparts. This advantage was not attributable to the healthy migrant phenomenon since immigrants of non-Latino origin did not differ from Non-Latino whites. The excess risk among Non-Hispanic Blacks was rendered non-significant after adjustment for socioeconomic position. A protective effect conferred by Latino nativity is unexpected given relatively disadvantaged socioeconomic position of this group, their language barrier and restrictions to needed dental care. As the Latino advantage in oral health-related quality of life is not explained by healthy immigrant selection, cultural explanations seem more likely than explanations based on characteristics of individuals. (PsycINFO Database Record (c) 2019 APA, all rights reserved)</t>
  </si>
  <si>
    <t>http://search.ebscohost.com.proxy-ub.rug.nl/login.aspx?direct=true&amp;db=psyh&amp;AN=2010-12676-027&amp;site=ehost-live&amp;scope=site</t>
  </si>
  <si>
    <t>A life course perspective on migration and mental health among Asian immigrants: The role of human agency.</t>
  </si>
  <si>
    <t>Gong, Fang; Xu, Jun; Fujishiro, Kaori; Takeuchi, David T.</t>
  </si>
  <si>
    <t>2011-26416-008</t>
  </si>
  <si>
    <t>10.1016/j.socscimed.2011.09.014</t>
  </si>
  <si>
    <t>Immigration; Life Span; Mental Health; Agency; Asians; Adulthood (18 yrs &amp; older); Young Adulthood (18-29 yrs); Thirties (30-39 yrs); Middle Age (40-64 yrs); Aged (65 yrs &amp; older); Very Old (85 yrs &amp; older); Male; Female</t>
  </si>
  <si>
    <t>The relationship between human agency and health is an important yet under-researched topic. This study uses a life course perspective to examine how human agency (measured by voluntariness, migratory reasons, and planning) and timing (measured by age at immigration) affect mental health outcomes among Asian immigrants in the United States. Data from the National Latino and Asian American Study showed that Asian immigrants (n = 1491) with multiple strong reasons to migrate were less likely to suffer from mental health problems (i.e., psychological distress and psychiatric disorders in the past 12 months) than those without clear goals. Moreover, Asian immigrants with adequate migratory planning had lower levels of distress and lower rates of 12-month psychiatric disorders than those with poorly planned migration. Compared with migrants of the youngest age category (six or younger), those who migrated during preteen and adolescent years without clear goals had higher levels of psychological distress, and those who migrated during adulthood (25 years or older) were less likely to suffer from recent depressive disorders (with the exception of those migrating for life-improving goals). Furthermore, we found that well-planned migration lowered acculturative stress, and multiple strong reasons for migration buffered the negative effect of acculturative stress upon mental health. Findings from this study advance research on immigrant health from the life course perspective by highlighting the effects of exercising human agency during the pre-migration stage upon post-migration mental health. (PsycINFO Database Record (c) 2019 APA, all rights reserved)</t>
  </si>
  <si>
    <t>http://search.ebscohost.com.proxy-ub.rug.nl/login.aspx?direct=true&amp;db=psyh&amp;AN=2011-26416-008&amp;site=ehost-live&amp;scope=site</t>
  </si>
  <si>
    <t>A life domains perspective on acculturation and psychological adjustment: A study of refugees from the former Soviet Union.</t>
  </si>
  <si>
    <t>Birman, Dina; Simon, Corrina D.; Chan, Wing Yi; Tran, Nellie</t>
  </si>
  <si>
    <t>American Journal of Community Psychology</t>
  </si>
  <si>
    <t>2013-44470-001</t>
  </si>
  <si>
    <t>10.1007/s10464-013-9614-2</t>
  </si>
  <si>
    <t>Acculturation; Immigration; Life Satisfaction; Refugees; Emotional Adjustment; Social Support; Adulthood (18 yrs &amp; older); Young Adulthood (18-29 yrs); Thirties (30-39 yrs); Middle Age (40-64 yrs); Aged (65 yrs &amp; older); Male; Female</t>
  </si>
  <si>
    <t>The study articulates a contextual approach to research on acculturation of immigrants, suggesting that the relationship between acculturation and adjustment is dependent on the cultural demands of the life domains considered. Specifically, the study investigated the mediating effects of adjustment in occupational and social life domains on the relationship between acculturation and psychological adjustment for 391 refugees from the former Soviet Union. The study used bilinear measures of acculturation to the host (American) and heritage (Russian) cultures. Using Structural Equation Modeling, the study confirmed the hypothesized relationships, such that the positive effects of American acculturation on psychological adjustment were mediated by occupational adjustment, and the effects of Russian acculturation on psychological adjustment were mediated by satisfaction with co-ethnic social support. Psychological adjustment was measured in two ways, as psychological well-being, using a measure of life satisfaction, and as symptoms of depression and anxiety, using the Hopkins symptom checklist (HSCL). Life satisfaction served as a mediator between adjustment in occupational and social domains and HSCL, suggesting that it may be an intervening variable through which environmental stress associated with immigration contributes to the development of symptoms of mental disorder. (PsycInfo Database Record (c) 2020 APA, all rights reserved)</t>
  </si>
  <si>
    <t>http://search.ebscohost.com.proxy-ub.rug.nl/login.aspx?direct=true&amp;db=psyh&amp;AN=2013-44470-001&amp;site=ehost-live&amp;scope=site</t>
  </si>
  <si>
    <t>A longitudinal investigation of the ethnic and national identities of children with migration background in Germany.</t>
  </si>
  <si>
    <t>Froehlich, Laura; Martiny, Sarah E.; Deaux, Kay</t>
  </si>
  <si>
    <t>Social Psychology</t>
  </si>
  <si>
    <t>2019-72420-001</t>
  </si>
  <si>
    <t>10.1027/1864-9335/a000403</t>
  </si>
  <si>
    <t>Hogrefe Publishing</t>
  </si>
  <si>
    <t>Ethnic Identity; Immigration; Nationalism; Racial and Ethnic Groups; Social Identity; Childhood Development; Experimentation; Social Integration; Childhood (birth-12 yrs); School Age (6-12 yrs); Male; Female</t>
  </si>
  <si>
    <t>How immigrants define their ethnicity and nationality is relevant for integration: They can identify with their ethnic group, the receiving society, and a combination of both. A longitudinal study with elementary-school children with migration background (N = 200; age 9–10) in Germany investigated the predictors and stability of ethnic and national identities. Ethnic identity was more highly endorsed than national identity. National and dual identities were compatible (i.e., positively related), whereas ethnic identity was compartmentalized (i.e., unrelated to national and dual identities). Contact with Germans predicted national identity over time, but not vice versa. Thus, the study contributes to a better understanding of multiple social identities of young ethnic minority children in light of social psychological theories of social identity development. (PsycINFO Database Record (c) 2020 APA, all rights reserved)</t>
  </si>
  <si>
    <t>http://search.ebscohost.com.proxy-ub.rug.nl/login.aspx?direct=true&amp;db=psyh&amp;AN=2019-72420-001&amp;site=ehost-live&amp;scope=site</t>
  </si>
  <si>
    <t>A measure of English acculturation stress and its relationships with psychological and physical health status in a sample of elderly Russian immigrants.</t>
  </si>
  <si>
    <t>Tran, Thanh V.; Sung, Tricia; Huynh-Hohnbaum, Anh-Luu T.</t>
  </si>
  <si>
    <t>Journal of Gerontological Social Work</t>
  </si>
  <si>
    <t>2011-26747-004</t>
  </si>
  <si>
    <t>10.1300/J083v50n3_04</t>
  </si>
  <si>
    <t>Acculturation; Health; Immigration; Measurement; Stress; English as Second Language; Mental Health; Physical Health; Psychometrics; Test Reliability; Test Validity; Adulthood (18 yrs &amp; older); Middle Age (40-64 yrs); Aged (65 yrs &amp; older); Very Old (85 yrs &amp; older); Male; Female</t>
  </si>
  <si>
    <t>This study aims to evaluate the factor structure and criterion validity of the English Language Acculturation Stress (ELAS) scale in a community-based sample of elderly Russian immigrants. The sample consists of 300 Russian immigrants with an equal number of females and males, from 59 to 93 years of age (Mean = 73.26, SD = 7.271). The majority of the respondents were married (72%) at the time the interviews were conducted. On average, the respondents have lived in the U.S. for about 7 years (SD = 3.00). We performed both exploratory and confirmatory factor analyses to ascertain the factor structure or conceptual dimensions of the 11-item ELAS scale. The findings revealed that this 11-item scale encompasses three dimensions: Basic English skills, survival English skills, and social involvement English skills. Correlation analyses of the scale with depression, physical health status, and length of residence suggest that the ELAS has good criterion validity and potential as a screening instrument of language acculturation stress for elderly Russian immigrants. Implications for research and practice are discussed. (PsycINFO Database Record (c) 2016 APA, all rights reserved)</t>
  </si>
  <si>
    <t>http://search.ebscohost.com.proxy-ub.rug.nl/login.aspx?direct=true&amp;db=psyh&amp;AN=2011-26747-004&amp;site=ehost-live&amp;scope=site</t>
  </si>
  <si>
    <t>A mixed-methods approach to understanding complex risk among newcomer Latina immigrant adolescents.</t>
  </si>
  <si>
    <t>Palacios, Mercedes P.; Patel, Sita G.; Reed, David E. II; Poe, Celeste H.; Barrera, Alinne Z.</t>
  </si>
  <si>
    <t>Peace and Conflict: Journal of Peace Psychology</t>
  </si>
  <si>
    <t>2020-95044-008</t>
  </si>
  <si>
    <t>10.1037/pac0000405</t>
  </si>
  <si>
    <t>Educational Publishing Foundation</t>
  </si>
  <si>
    <t>Acculturation; Immigration; Risk Factors; Latinos/Latinas; Adolescent Characteristics; Adjustment; Adolescent Development; Stress; Internalizing Symptoms; Adolescence (13-17 yrs); Adulthood (18 yrs &amp; older); Young Adulthood (18-29 yrs); Female</t>
  </si>
  <si>
    <t>Recently arrived newcomer immigrant Latina adolescents experience the intersecting challenges of acculturative adjustment and rapid developmental changes. In particular, the economic struggles facing many newcomer families may pose significant risk to Latina adolescents’ well-being, given their increasing roles and responsibilities within the family. Given the rapid increase in Latina youth arriving in the United States in recent years, more research is needed to better understand the impact of multiple risk factors on their psychological and behavioral health. To address this gap, this study used a mixed-methods approach to explore the contribution of four common challenges (economic difficulties, discrimination, language difficulties, and community violence) on 122 Latina adolescent newcomers’ internalizing and externalizing symptoms. Results demonstrated that, indeed, economic challenges pose the widest ranging risk, in predicting internalizing symptoms. Whereas language difficulties predicted internalizing symptoms, discrimination and community violence were unrelated to psychological outcomes. Qualitative interviews with 15 newcomer Latinas explored more deeply the complexities of economic and language difficulties faced. By taking a mixed-methods and community-based approach, this study deepens our knowledge of a growing, highly vulnerable, and little-studied population. Economic and language challenges can create significant adjustment problems. It is therefore critical that service providers and school officials consider these challenges when working with newcomer immigrants, especially with Latina adolescent newcomers. This research is an important step toward developing community and school level policies and programs to improve social justice by fostering the successful adjustment of Latina newcomer adolescents. (PsycInfo Database Record (c) 2020 APA, all rights reserved)</t>
  </si>
  <si>
    <t>http://search.ebscohost.com.proxy-ub.rug.nl/login.aspx?direct=true&amp;db=psyh&amp;AN=2020-95044-008&amp;site=ehost-live&amp;scope=site</t>
  </si>
  <si>
    <t>A multidimensional examination of the acculturation and psychological functioning of a sample of immigrant Chinese mothers in the US.</t>
  </si>
  <si>
    <t>Tahseen, Madiha; Cheah, Charissa S. L.</t>
  </si>
  <si>
    <t>International Journal of Behavioral Development</t>
  </si>
  <si>
    <t>2012-29551-004</t>
  </si>
  <si>
    <t>10.1177/0165025412448605</t>
  </si>
  <si>
    <t>Acculturation; Adjustment; Demographic Characteristics; Immigration; Mothers; Chinese Cultural Groups; Adulthood (18 yrs &amp; older); Female</t>
  </si>
  <si>
    <t>The present research used the cluster analysis method to examine the acculturation of immigrant Chinese mothers (ICMs), and the demographic characteristics and psychological functioning associated with each acculturation style. The sample was comprised of 83 first-generation ICMs of preschool children residing in Maryland, Unites States (US). Cluster analysis revealed four acculturation styles: psychologically-behaviorally integrated; psychologically-behaviorally assimilated; psychologically-behaviorally undifferentiated; and psychologically-behaviorally separated. Assimilated mothers were the youngest at immigration and had resided in the US for the longest time. Separated mothers were older at immigration, resided in the US for a shorter time, were less educated, and had lower psychological functioning than mothers in the other clusters. However, there were no differences in demographic characteristics and psychological functioning between psychologically-behaviorally integrated and psychologically-behaviorally undifferentiated clusters. The importance of simultaneously assessing various cultural orientations and components of acculturation was highlighted. (PsycINFO Database Record (c) 2016 APA, all rights reserved)</t>
  </si>
  <si>
    <t>http://search.ebscohost.com.proxy-ub.rug.nl/login.aspx?direct=true&amp;db=psyh&amp;AN=2012-29551-004&amp;site=ehost-live&amp;scope=site</t>
  </si>
  <si>
    <t>A multi-study analysis of conceptual and measurement issues related to health research on acculturation in Latinos.</t>
  </si>
  <si>
    <t>Andrews, Arthur R. III; Bridges, Ana J.; Gomez, Debbie</t>
  </si>
  <si>
    <t>Journal of Transcultural Nursing</t>
  </si>
  <si>
    <t>2013-08044-003</t>
  </si>
  <si>
    <t>10.1177/1043659612472199</t>
  </si>
  <si>
    <t>Acculturation; Health Behavior; Immigration; Measurement; Analysis; Latinos/Latinas; Childhood (birth-12 yrs); School Age (6-12 yrs); Adolescence (13-17 yrs); Adulthood (18 yrs &amp; older); Male; Female</t>
  </si>
  <si>
    <t>Purpose: The aims of the study were to evaluate the orthogonality of acculturation for Latinos. Design: Regression analyses were used to examine acculturation in two Latino samples (N = 77; N = 40). In a third study (N = 673), confirmatory factor analyses compared unidimensional and bidimensional models. Method: Acculturation was assessed with the ARSMA-II (Studies 1 and 2), and language proficiency items from the Children of Immigrants Longitudinal Study (Study 3). Results: In Studies 1 and 2, the bidimensional model accounted for slightly more variance (R² Study 1 = .11; R² Study 2 = .21) than the unidimensional model (R² Study 1 = .10; R² Study 2 = .19). In Study 3, the bidimensional model evidenced better fit (Akaike information criterion = 167.36) than the unidimensional model (Akaike information criterion = 1204.92). Discussion/Conclusions: Acculturation is multidimensional. Implications for Practice: Care providers should examine acculturation as a bidimensional construct. (PsycINFO Database Record (c) 2016 APA, all rights reserved)</t>
  </si>
  <si>
    <t>http://search.ebscohost.com.proxy-ub.rug.nl/login.aspx?direct=true&amp;db=psyh&amp;AN=2013-08044-003&amp;site=ehost-live&amp;scope=site</t>
  </si>
  <si>
    <t>A national study of gender and racial differences in colorectal cancer screening among foreign-born older adults living in the US.</t>
  </si>
  <si>
    <t>Cofie, Leslie E.; Hirth, Jacqueline M.; Cuevas, Adolfo G.; Farr, Deeonna</t>
  </si>
  <si>
    <t>Journal of Behavioral Medicine</t>
  </si>
  <si>
    <t>2019-62955-001</t>
  </si>
  <si>
    <t>10.1007/s10865-019-00107-3</t>
  </si>
  <si>
    <t>Cancer Screening; Colon Disorders; Human Sex Differences; Racial and Ethnic Differences; Older Adulthood; Citizenship; Health; Health Insurance; Immigration; Adulthood (18 yrs &amp; older); Middle Age (40-64 yrs); Aged (65 yrs &amp; older); Male; Female</t>
  </si>
  <si>
    <t>This study examined within group heterogeneity in colorectal cancer screening (CRCS) among foreign-born individuals. Data were from the 2010, 2013 and 2015 National Health Interview Survey data on older adults (N = 5529). In 2018, multivariable logistic regression analysis was conducted to determine whether gender and race/ethnicity were associated with CRCS after controlling for sociodemographic, health access, and acculturation related factors. Overall, Asians were significantly less likely to report CRCS compared with Whites (aOR 0.63, CI 0.52–0.76). Hispanic race/ethnicity was negatively associated with CRCS among men (aOR 0.68, CI 0.50–0.91), but not women compared to white men/women, respectively. Additionally, factors associated with CRCS include having fair/poor health, usual source of care, insurance, ≥ 10 years of US residency and citizenship. Screening disparities experienced by these immigrants may be addressed by improving healthcare access, especially for noncitizens and those with limited healthcare access. (PsycInfo Database Record (c) 2020 APA, all rights reserved)</t>
  </si>
  <si>
    <t>http://search.ebscohost.com.proxy-ub.rug.nl/login.aspx?direct=true&amp;db=psyh&amp;AN=2019-62955-001&amp;site=ehost-live&amp;scope=site</t>
  </si>
  <si>
    <t>A personal network approach to the study of immigrant structural assimilation and transnationalism.</t>
  </si>
  <si>
    <t>Vacca, Raffaele; Solano, Giacomo; Lubbers, Miranda Jessica; Molina, José Luis; McCarty, Christopher</t>
  </si>
  <si>
    <t>Social Networks</t>
  </si>
  <si>
    <t>2016-46592-001</t>
  </si>
  <si>
    <t>10.1016/j.socnet.2016.08.007</t>
  </si>
  <si>
    <t>Acculturation; Social Issues; Social Networks; Immigration; Adulthood (18 yrs &amp; older); Male; Female</t>
  </si>
  <si>
    <t>This paper proposes a personal network approach to the study of structural assimilation and structural transnationalism among international immigrants. Structural assimilation and transnationalism are defined as embeddedness in native social networks of the host society, and in co-national social networks of the origin society, respectively. Data on the personal networks of international immigrants, each including 45 alters, are obtained from two surveys among Moroccan, Senegalese and Gambian immigrants in Spain (N = 139), and among Sri Lankan immigrants in Italy (N = 102). Measures on the size of different national and geographical classes of alters, and on the cohesion within and between these classes, are used to quantify the degree and type of structural assimilation and transnationalism. Linear regression models show that these measures are significantly associated with outcomes of cultural and economic assimilation of immigrants. (PsycINFO Database Record (c) 2018 APA, all rights reserved)</t>
  </si>
  <si>
    <t>http://search.ebscohost.com.proxy-ub.rug.nl/login.aspx?direct=true&amp;db=psyh&amp;AN=2016-46592-001&amp;site=ehost-live&amp;scope=site</t>
  </si>
  <si>
    <t>A Person-Centered and Ecological Investigation of Acculturation Strategies in Hispanic Immigrant Youth.</t>
  </si>
  <si>
    <t>Coatsworth, J. Douglas; Maldonado-Molina, Mildred; Pantin, Hilda; Szapocznik, José</t>
  </si>
  <si>
    <t>Journal of Community Psychology</t>
  </si>
  <si>
    <t>2005-03235-002</t>
  </si>
  <si>
    <t>10.1002/jcop.20046</t>
  </si>
  <si>
    <t>John Wiley &amp; Sons</t>
  </si>
  <si>
    <t>Acculturation; Immigration; Minority Groups; Latinos/Latinas; Adolescent Development; Childhood Development; Racial and Ethnic Groups; Childhood (birth-12 yrs); School Age (6-12 yrs); Adolescence (13-17 yrs); Male; Female</t>
  </si>
  <si>
    <t>Understanding the processes of acculturation in ethnic minority populations is one of the central tasks of crosscultural research. Addressing challenges of theory, methods, and application in acculturation research requires ongoing advancements in methods and theoretical and model development. The current study was designed to explain a person-centered approach to investigating acculturation and biculturalism and to illustrate this method with a sample of 315 Hispanic youth. Pattern analyses of the Hispanicism and Americanism scores from the Bicultural Involvement Scale yielded four distinct acculturation types, including one characterized by moderate scores on both scales. Relations between acculturation types and indicators of individual, family, and peer adaptation were tested. Results indicated that bicultural youth tended to show the most adaptive pattern of functioning across multiple sociocultural domains. Assimilated youth did not show as strongly negative a pattern as has been reported elsewhere. Implications and benefits of a person-centered approach are discussed. (PsycINFO Database Record (c) 2016 APA, all rights reserved)</t>
  </si>
  <si>
    <t>http://search.ebscohost.com.proxy-ub.rug.nl/login.aspx?direct=true&amp;db=psyh&amp;AN=2005-03235-002&amp;site=ehost-live&amp;scope=site</t>
  </si>
  <si>
    <t>A pilot binational study of health behaviors and immigration.</t>
  </si>
  <si>
    <t>Hennessy-Burt, Tamara E.; Stoecklin-Marois, Maria T.; Meneses-González, Fernando; Schenker, Marc B.</t>
  </si>
  <si>
    <t>2011-25096-022</t>
  </si>
  <si>
    <t>10.1007/s10903-010-9387-8</t>
  </si>
  <si>
    <t>Acculturation; Health Behavior; Immigration; Risk Taking; Alcoholism; Tobacco Smoking; Sexual Partners; Adulthood (18 yrs &amp; older); Young Adulthood (18-29 yrs); Thirties (30-39 yrs); Middle Age (40-64 yrs); Female</t>
  </si>
  <si>
    <t>In the US, Mexican immigrant women often have better health outcomes than non-Hispanic white women despite a greater health risk profile. This cross-sectional pilot study compared women living in Chavinda, Michoacán (n = 102) to women who had migrated from Mexico to Madera, California (n = 93). The interview gathered information on acculturation and risk behaviors including smoking, alcohol use and number of sexual partners. The results suggest that more acculturated women living in the US are more likely to consume alcohol. US residence and higher acculturation level was marginally associated with having more than one sexual partner. There were no differences between odds of smoking among Chavinda and Madera women. While results with acculturation are not consistently significant due to small sample sizes, the results are suggestive that acculturation among immigrant Hispanic women in the US may be associated with adverse health behaviors, and selective migration seems less likely to account for these differences. (PsycINFO Database Record (c) 2016 APA, all rights reserved)</t>
  </si>
  <si>
    <t>http://search.ebscohost.com.proxy-ub.rug.nl/login.aspx?direct=true&amp;db=psyh&amp;AN=2011-25096-022&amp;site=ehost-live&amp;scope=site</t>
  </si>
  <si>
    <t>A pilot study of a teen dating violence prevention program with karen refugees.</t>
  </si>
  <si>
    <t>Ravi, Kristen E.; Black, Beverly M.; Mitschke, Diane B.; Pearson, Katelyn</t>
  </si>
  <si>
    <t>Violence Against Women</t>
  </si>
  <si>
    <t>2019-21868-002</t>
  </si>
  <si>
    <t>10.1177/1077801218804091</t>
  </si>
  <si>
    <t>Program Evaluation; Refugees; Dating Violence; Preventive Mental Health Services; Violence Prevention; Minority Groups; Adolescence (13-17 yrs); Adulthood (18 yrs &amp; older); Young Adulthood (18-29 yrs); Male; Female</t>
  </si>
  <si>
    <t>While teen dating violence (TDV) prevention programs generally report changes in participants’ attitudes and mixed findings about changes in behavior, little is known about the impact of TDV programs on ethnic minority youth. This study examined the effectiveness of Safe Dates, an evidence-based TDV prevention program, in educating 21 resettled Karen refugee youth from Burma. Findings indicated changes in attitudes toward violence occurred from pretest to follow-up. Years living in the United States was significantly related to pretest and posttest attitudes. More research about TDV is needed among Karen youth with attention given to the role of acculturation on TDV attitudes. (PsycInfo Database Record (c) 2020 APA, all rights reserved)</t>
  </si>
  <si>
    <t>http://search.ebscohost.com.proxy-ub.rug.nl/login.aspx?direct=true&amp;db=psyh&amp;AN=2019-21868-002&amp;site=ehost-live&amp;scope=site</t>
  </si>
  <si>
    <t>A profile of US-Mexico border mobility among a stratified random sample of Hispanics living in the El Paso-Juarez area.</t>
  </si>
  <si>
    <t>Lapeyrouse, L. M.; Morera, O.; Heyman, J. M. C.; Amaya, M. A.; Pingitore, N. E.; Balcazar, H.</t>
  </si>
  <si>
    <t>2012-06971-012</t>
  </si>
  <si>
    <t>10.1007/s10903-011-9453-x</t>
  </si>
  <si>
    <t>Demographic Characteristics; Health Behavior; Sociocultural Factors; Economics; Latinos/Latinas; Adulthood (18 yrs &amp; older); Male; Female</t>
  </si>
  <si>
    <t>Examination of border-specific characteristics such as trans-border mobility and transborder health service illuminates the heterogeneity of border Hispanics and may provide greater insight toward understanding differential health behaviors and status among these populations. In this study, we create a descriptive profile of the concept of trans-border mobility by exploring the relationship between mobility status and a series of demographic, economic and socio-cultural characteristics among mobile and non-mobile Hispanics living in the El Paso-Juarez border region. Using a two-stage stratified random sampling design, bilingual interviewers collected survey data from border residents (n = 1,002). Findings show that significant economic, cultural, and behavioral differences exist between mobile and non-mobile respondents. While non-mobile respondents were found to have higher social economic status than their mobile counterparts, mobility across the border was found to offer less acculturated and poorer Hispanics access to alternative sources of health care and other services. (PsycINFO Database Record (c) 2016 APA, all rights reserved)</t>
  </si>
  <si>
    <t>http://search.ebscohost.com.proxy-ub.rug.nl/login.aspx?direct=true&amp;db=psyh&amp;AN=2012-06971-012&amp;site=ehost-live&amp;scope=site</t>
  </si>
  <si>
    <t>A psychology of economic migration.</t>
  </si>
  <si>
    <t>Boski, Pawel</t>
  </si>
  <si>
    <t>Journal of Cross-Cultural Psychology</t>
  </si>
  <si>
    <t>2013-30893-002</t>
  </si>
  <si>
    <t>10.1177/0022022112471895</t>
  </si>
  <si>
    <t>Acculturation; Conscientiousness; Economics; Immigration; Personality Change; Adulthood (18 yrs &amp; older); Male; Female</t>
  </si>
  <si>
    <t>This article introduces a psychology of economic immigration as a field complementary to but separate from research on acculturation. A theoretical model of psychological disharmony is outlined, where hard work and thrift become the crucial elements of immigrant condition. Three studies are reported. Studies 1 and 2 were conducted among Polish immigrants in Ireland. These studies addressed personality comparisons between immigrants and nonimmigrant samples (Study 1: peer observations) and immigrant self-perceived changes (Study 2). Adaptive personality changes did occur as hypothesized, particularly in the domain of conscientiousness, which regulates work-related activities. This finding was restricted in Study 2 to a prospective time frame (change measured with time flow). Study 2 introduced four lifestyles: eudaimonia, hedonism, self-sacrifice, and alienation. Prospective change in conscientiousness favored eudaimonic lifestyle, but retrospective change predicted self-sacrifice. Participants in Study 3 were Eastern Slav and Vietnamese immigrants in Poland. Based on previous work on Confucian work dynamism, it was expected that Vietnamese would demonstrate greater work involvement, eudaimonic lifestyle, and thrift, compared to Slav immigrants. These hypotheses were confirmed, showing that within the general model of immigrant adaptation, there is room for cultural differences. (PsycINFO Database Record (c) 2017 APA, all rights reserved)</t>
  </si>
  <si>
    <t>http://search.ebscohost.com.proxy-ub.rug.nl/login.aspx?direct=true&amp;db=psyh&amp;AN=2013-30893-002&amp;site=ehost-live&amp;scope=site</t>
  </si>
  <si>
    <t>A qualitative study exploring factors associated with Pap test use among North Korean refugees.</t>
  </si>
  <si>
    <t>Kim, Kyounghae; Kim, Soohyun; Chung, Yoonkyung</t>
  </si>
  <si>
    <t>Health Care for Women International</t>
  </si>
  <si>
    <t>2017-49017-009</t>
  </si>
  <si>
    <t>10.1080/07399332.2017.1359605</t>
  </si>
  <si>
    <t>Cancer Screening; Cervix; Human Migration; Neoplasms; Refugees; Risk Factors; Human Papillomavirus; Adulthood (18 yrs &amp; older); Thirties (30-39 yrs); Middle Age (40-64 yrs); Aged (65 yrs &amp; older); Female</t>
  </si>
  <si>
    <t>Lack of medical care in North Korea and vulnerability to human trafficking during their migration increase risks of cervical cancer among North Korean refugees. To better understand factors influencing Pap test use, we conducted a qualitative study of eight North Korean refugees in South Korea. Individual barriers were limited knowledge, lack of perceived need for preventive services, and concerns about costs. Environmental facilitators included having female providers, receiving family support, and free screenings. Refugees' health outlook, including viewing cancers as fatal diseases, hindered seeking Pap tests. Multi-faceted approaches to address individual and environmental factors in promoting Pap tests are warranted. (PsycINFO Database Record (c) 2018 APA, all rights reserved)</t>
  </si>
  <si>
    <t>http://search.ebscohost.com.proxy-ub.rug.nl/login.aspx?direct=true&amp;db=psyh&amp;AN=2017-49017-009&amp;site=ehost-live&amp;scope=site</t>
  </si>
  <si>
    <t>A qualitative study of body image and appearance among men of Chinese ancestry in Australia.</t>
  </si>
  <si>
    <t>Watt, Merran; Ricciardelli, Lina A.</t>
  </si>
  <si>
    <t>Body Image</t>
  </si>
  <si>
    <t>2011-30272-013</t>
  </si>
  <si>
    <t>10.1016/j.bodyim.2011.10.003</t>
  </si>
  <si>
    <t>Body Image; Physical Appearance; Chinese Cultural Groups; Human Males; Adulthood (18 yrs &amp; older); Young Adulthood (18-29 yrs); Thirties (30-39 yrs); Male</t>
  </si>
  <si>
    <t>Little is known about the body image of non-White men living in Western countries, even though it has been suggested that they may be more at risk of body image concerns, especially if they internalize Western ideals. This study focused on identifying the main body image and appearance themes among 15 men of Chinese ancestry in Australia using semi-structured interviews and grounded theory. Moderate muscularity was the preferred ideal and height dissatisfaction was shown to be the primary concern. The majority was not invested in achieving muscularity and had a 'holistic' approach to their body image that included concerns about hairstyling and clothing. In addition, the men were influenced by both Asian and Western ideals, and this included comparison targets with both Asian and Western men. Further studies are needed to assess the extent of men's body image and appearance concerns, and the role played by Asian and Western influences. (PsycINFO Database Record (c) 2017 APA, all rights reserved)</t>
  </si>
  <si>
    <t>http://search.ebscohost.com.proxy-ub.rug.nl/login.aspx?direct=true&amp;db=psyh&amp;AN=2011-30272-013&amp;site=ehost-live&amp;scope=site</t>
  </si>
  <si>
    <t>A qualitative study to understand positive and negative child feeding behaviors of immigrant Asian Indian mothers in the US.</t>
  </si>
  <si>
    <t>Momin, Shabnam R.; Chung, Kimberly R.; Olson, Beth H.</t>
  </si>
  <si>
    <t>Maternal and Child Health Journal</t>
  </si>
  <si>
    <t>2013-44183-001</t>
  </si>
  <si>
    <t>10.1007/s10995-013-1412-9</t>
  </si>
  <si>
    <t>Eating Behavior; Immigration; Mealtimes; Mothers; South Asian Cultural Groups; Childhood Development; Childrearing Practices; Childhood (birth-12 yrs); Preschool Age (2-5 yrs); School Age (6-12 yrs); Adulthood (18 yrs &amp; older); Female</t>
  </si>
  <si>
    <t>To understand current practice of child feeding behaviors, and underlying factors influencing these practices in Asian Indian mothers, qualitative in-depth interviews were conducted with 27 immigrant Asian Indian mothers of children ages 5–10 years. Using the theory of planned behavior as a guiding framework, child feeding behaviors employed, beliefs about the outcomes of feeding behaviors, perceived ease or difficultly in practicing feeding behaviors, and social norms were explored during the interviews. Thematic analysis was conducted using coding and display matrices. Mothers were motivated by nutrition outcomes when practicing positive and negative controlling feeding behaviors. Outcomes related to preservation of Indian culture and values also influenced feeding behaviors. Pressuring to eat was often practiced despite the perception of ineffectiveness. Use of food rewards was found, and use of TV to control children’s food intake despite the clear understanding of undesirable nutrition outcomes was a unique finding. Asian Indian mothers need effective child feeding strategies that are culturally appropriate. Integrating cultural beliefs in nutrition education could help support existing motivation and behavior modification. (PsycINFO Database Record (c) 2016 APA, all rights reserved)</t>
  </si>
  <si>
    <t>http://search.ebscohost.com.proxy-ub.rug.nl/login.aspx?direct=true&amp;db=psyh&amp;AN=2013-44183-001&amp;site=ehost-live&amp;scope=site</t>
  </si>
  <si>
    <t>A standardization study: Acculturation and mental health among Nigerian immigrants in America.</t>
  </si>
  <si>
    <t>Ndika, Nnenna Arize</t>
  </si>
  <si>
    <t>7-B(E)</t>
  </si>
  <si>
    <t>2013-99020-022</t>
  </si>
  <si>
    <t>Acculturation; Immigration; Mental Health; Stress</t>
  </si>
  <si>
    <t>The Nigerian-American Systemic Scales (NASAS), an acculturation scale, was standardized on first-generation Nigerian immigrants in America. The NASAS was specifically constructed to assess accultuartion patterns among Nigerians in the Diaspora. Two additional measures were revalidated on the sample. Adult Nigerian immigrants (N = 104) in California, New Jersey, Michigan, New York, Texas, and Massachusetts responded to four self-report instruments: a sociodemographics questionnaire, the Nigerian-American Systemic Scales (NASAS; Ndika, 2011), the Self-Efficacy Scale (SES; Sherer et al., 1982), and the Depression Anxiety Stress Scales 21 (DASS-21 Lovibond, S. H., &amp; Lovibod, P. F., 1995). The components that emerged from the principal component analysis of the NASAS fit Berry's model of acculturation only modestly, and they accounted for 38.08% of the total variance in the instrument. The components that emerged from principal component analysis of the SES and the DASS-21 failed to fit the underlying structures proposed by the original authors, respectively. Post hoc analyses provided information on the likely relationships between acculturation, depression, anxiety, normative stress, self-efficacy and sociodemographics data among the participants. The importance of the research findings, limitations of the study, and recommendations for further research were discussed. (PsycINFO Database Record (c) 2016 APA, all rights reserved)</t>
  </si>
  <si>
    <t>http://search.ebscohost.com.proxy-ub.rug.nl/login.aspx?direct=true&amp;db=psyh&amp;AN=2013-99020-022&amp;site=ehost-live&amp;scope=site</t>
  </si>
  <si>
    <t>A structural model of acculturation and well-being among immigrants from the former USSR in Finland.</t>
  </si>
  <si>
    <t>Jasinskaja-Lahti, Inga; Liebkind, Karmela</t>
  </si>
  <si>
    <t>European Psychologist</t>
  </si>
  <si>
    <t>2007-12099-002</t>
  </si>
  <si>
    <t>10.1027/1016-9040.12.2.80</t>
  </si>
  <si>
    <t>Hogrefe &amp; Huber Publishers</t>
  </si>
  <si>
    <t>Acculturation; Immigration; Well Being; Foreign Language Learning; Health; Linguistics; Social Discrimination; Social Support; Socioeconomic Status; Adulthood (18 yrs &amp; older); Young Adulthood (18-29 yrs); Thirties (30-39 yrs); Middle Age (40-64 yrs); Aged (65 yrs &amp; older); Male; Female</t>
  </si>
  <si>
    <t>In this study we tested an integrated model of the relationship between immigrants' linguistic acculturation, socioeconomic status (SES), perceived discrimination, social support networks, general health status, and psychological well-being. A nationwide adult probability sample (N = 2360) included Finnish repatriates and Russian and Estonian immigrants from the former Soviet Union, Russia, and Estonia. In the total sample, linguistic acculturation was directly and negatively related to psychological well-being. Increased acculturation also influenced well-being indirectly through an increase in perceived discrimination. Although acculturation also increased the use of ethnic and host support networks, the effect of these social support networks on well-being depended on the stress level. Particularly, the direct effect of acculturation on well-being disappeared and was instead mediated by social support networks when examining the more vulnerable subsamples of the study, i.e., women and those who perceived substantial discrimination. Higher levels of SES were linked to better well-being through increased health status. It was concluded that the acculturation process plays a dual role in psychological functioning and that it is important to ensure more directly not only immigrants' cultural but also their socioeconomic integration. (PsycINFO Database Record (c) 2016 APA, all rights reserved)</t>
  </si>
  <si>
    <t>http://search.ebscohost.com.proxy-ub.rug.nl/login.aspx?direct=true&amp;db=psyh&amp;AN=2007-12099-002&amp;site=ehost-live&amp;scope=site</t>
  </si>
  <si>
    <t>A study of acculturation in psychotic and non-psychotic immigrants living in Athens.</t>
  </si>
  <si>
    <t>Gonidakis, F.; Lembesi, E.; Kontaxakis, V. P.; Havaki-Kontaxaki, B. J.; Ploumpidis, D.; Madianos, M.; Papadimitriou, G. N.</t>
  </si>
  <si>
    <t>2013-05869-008</t>
  </si>
  <si>
    <t>10.1177/0020764011430031</t>
  </si>
  <si>
    <t>Acculturation; Demographic Characteristics; Immigration; Psychosis; Symptoms; Adulthood (18 yrs &amp; older); Male; Female</t>
  </si>
  <si>
    <t>Background: Acculturation is the phenomenon that results when a group with one culture comes into continuous contact with a host culture. Aims: To investigate the correlation between acculturation and psychotic symptomatology in a group of immigrants suffering from psychosis and to explore differences in demographic factors related with the acculturation process between individuals with and without psychosis. Methods: Sixty-five patients and 317 non-psychotic immigrants were interviewed using the Immigrant Acculturation Scale (IAS) and a structured questionnaire for demographic data. The Positive and Negative Syndrome Scale (PANSS), the Calgary Depression Scale for Schizophrenia (CDSS) and the Glοbal Assessment of Functioning (GAF) were also administered to all immigrants suffering from psychosis. Results: Total IAS scores, as well as IAS everyday life scores, were positively correlated with GAF scores. IAS everyday life score in the patient group related with religion, marital status, gender and years in Greece, while in the non-psychosis group it was related with gender and years in Greece. IAS wishful orientation/nostos (the strong desire for one’s homeland) related with religion in both groups. The IAS identity in the psychosis group did not show any significant relation with any of the variables, while in the non-patient group, it was related with marital status, gender and years in Greece. Age, duration of residence in Greece and higher adoption of Greek ethnic identity were the variables that differentiated the two groups of immigrants. Conclusion: Acculturation in immigrants suffering from psychosis could be seen as a process that does not correlate strongly with the severity of the symptomatology but is probably influenced by different set of factors. (PsycINFO Database Record (c) 2016 APA, all rights reserved)</t>
  </si>
  <si>
    <t>http://search.ebscohost.com.proxy-ub.rug.nl/login.aspx?direct=true&amp;db=psyh&amp;AN=2013-05869-008&amp;site=ehost-live&amp;scope=site</t>
  </si>
  <si>
    <t>A two-way process? A qualitative and quantitative investigation of majority members’ acculturation.</t>
  </si>
  <si>
    <t>Haugen, I.; Kunst, J. R.</t>
  </si>
  <si>
    <t>2017-45231-008</t>
  </si>
  <si>
    <t>10.1016/j.ijintrel.2017.07.004</t>
  </si>
  <si>
    <t>Acculturation; Culture Change; Majority Groups; Immigration; Adulthood (18 yrs &amp; older); Male; Female</t>
  </si>
  <si>
    <t>[Correction Notice: An Erratum for this article was reported in Vol 61 of International Journal of Intercultural Relations (see record [rid]2017-50434-011[/rid]). In the original article, the wrong authorship of a cited source was listed. The correct reference is given in this erratum.] Acculturation refers to changes that result from intercultural contact. Although it is commonly defined as a two-way process with changes occurring among both minority members and majority members, surprisingly little research has focused on the acculturation of majority members. Using a combination of qualitative and quantitative data, the present study attempted to fill this gap by exploring how and how much majority members change because of exposure to immigrant cultures. In the first part, using an open-response format, majority members reported positive as well as negative cultural change across a broad range of life domains. Most changes were reported in the private as compared to public sphere, and in terms of behaviours rather than values. Second, based on their responses to quantitative acculturation scales, the majority-group participants could meaningfully be clustered into three acculturation strategies commonly used to describe minority-group members’ acculturation, namely a separation, integration and undifferentiated acculturation cluster. No evidence for an assimilation cluster was found. Separated majority members (i.e., who maintain their majority culture but do not adopt immigrant cultures) reported significantly more identity threat and perceived ethnic discrimination, but also higher self-esteem. Interestingly, integrated majority members (i.e., who both maintain their majority culture and adopt immigrant cultures) were three times less likely to live in multi-ethnic neighbourhoods as compared to separated participants. The results of this study offer important insights into majority members’ acculturation experiences and their psychological importance. Implications for culturally plural societies and future research are discussed. (PsycInfo Database Record (c) 2020 APA, all rights reserved)</t>
  </si>
  <si>
    <t>http://search.ebscohost.com.proxy-ub.rug.nl/login.aspx?direct=true&amp;db=psyh&amp;AN=2017-45231-008&amp;site=ehost-live&amp;scope=site</t>
  </si>
  <si>
    <t>A validation of HCAS: The Host Community Acculturation Scale.</t>
  </si>
  <si>
    <t>Trifiletti, Elena; Dazzi, Carla; Hichy, Zira; Capozza, Dora</t>
  </si>
  <si>
    <t>TPM-Testing, Psychometrics, Methodology in Applied Psychology</t>
  </si>
  <si>
    <t>2010-02228-002</t>
  </si>
  <si>
    <t>Cises, Srl</t>
  </si>
  <si>
    <t>Acculturation; Immigration; Statistical Validity; Test Validity; Chinese Cultural Groups; Construct Validity; Convergent Validity; Discriminant Validity; Employment Status; Predictive Validity; Adulthood (18 yrs &amp; older); Male; Female</t>
  </si>
  <si>
    <t>In the current study, we tested the construct and predictive validity of the six-factor host community acculturation scale (HCAS; Bourhis, Barrette, &amp; Moriconi, in press; Bourhis &amp; Bougie, 1998) in the Italian social context. The HCAS was applied considering two domains (cultural heritage and employment), and three target groups (the general category of Immigrants, Chinese, Albanians). Results of confirmatory factor analysis demonstrated the convergent and discriminant validity of the scale, both in the culture and employment domain. The predictive validity of HCAS was tested by applying multiple regression with latent variables. We used as predictors: social dominance orientation, right-wing and left-wing political orientation, identification with the Italian ingroup; acculturation orientations were the dependent variables. Overall, findings supported the construct and predictive validity of the scale. (PsycINFO Database Record (c) 2019 APA, all rights reserved)</t>
  </si>
  <si>
    <t>http://search.ebscohost.com.proxy-ub.rug.nl/login.aspx?direct=true&amp;db=psyh&amp;AN=2010-02228-002&amp;site=ehost-live&amp;scope=site</t>
  </si>
  <si>
    <t>Abusive supervision and well-being of Filipino migrant workers in Macau: Consequences for self-esteem and heritage culture detachment.</t>
  </si>
  <si>
    <t>Bernardo, Allan B. I.; Daganzo, Mary Angeline A.; Ocampo, Anna Carmella G.</t>
  </si>
  <si>
    <t>Social Indicators Research</t>
  </si>
  <si>
    <t>2016-45183-001</t>
  </si>
  <si>
    <t>10.1007/s11205-016-1446-7</t>
  </si>
  <si>
    <t>Emotional Abuse; Human Migration; Self-Esteem; Supervisor Employee Interaction; Acculturation; Adulthood (18 yrs &amp; older); Male; Female</t>
  </si>
  <si>
    <t>Abusive supervision in the workplace has been shown to have important direct consequence in work and work relationship, and also indirect consequences to workers’ well-being and relationships outside work. Consequences of abusive supervision have not been studied among migrant workers whose status in the host country of work is dependent on maintaining the work contract. This study investigates abusive supervision in 247 Filipino migrant workers in Macau, who hold temporary work contracts and work visas to engage in various low-skilled work (e.g., domestic helper, security guard, etc.). The study tests a model representing the indirect consequences of abusive supervision on the self-esteem and acculturation orientation of migrant workers, in particular, on the tendency to reject their heritage culture in their attempt to acculturate in the host country. Mediation analysis indicated that abusive supervisory perceptions led to lower self-esteem (b = −.19), which in turn relates to tendency to reject their heritage culture as part of acculturation (b = −.45) [indirect effect = .08, 90 % CI .04, .15]. The rejection of heritage culture is interpreted as a coping response to the negative indirect consequences of abusive supervision perceptions that may be partly attributed to being a migrant Filipino worker. The results are discussed in terms of how the acculturation of migrant workers reflects aspects of their well-being that may be adversely affected by vocational-related stress in the host country. (PsycINFO Database Record (c) 2019 APA, all rights reserved)</t>
  </si>
  <si>
    <t>http://search.ebscohost.com.proxy-ub.rug.nl/login.aspx?direct=true&amp;db=psyh&amp;AN=2016-45183-001&amp;site=ehost-live&amp;scope=site</t>
  </si>
  <si>
    <t>Academic achievement among recently arrived Chinese adolescent migrants: The role of social support, school belonging, and acculturative stress.</t>
  </si>
  <si>
    <t>Ho, Ngai Kwan Nicole; Schweitzer, Robert D.; Khawaja, Nigar G.</t>
  </si>
  <si>
    <t>Journal of Psychologists and Counsellors in Schools</t>
  </si>
  <si>
    <t>2016-13728-001</t>
  </si>
  <si>
    <t>10.1017/jgc.2016.4</t>
  </si>
  <si>
    <t>Cambridge University Press</t>
  </si>
  <si>
    <t>Academic Achievement; Immigration; Social Support; Adolescent Characteristics; Acculturation; Stress; Childhood (birth-12 yrs); School Age (6-12 yrs); Adolescence (13-17 yrs); Male; Female</t>
  </si>
  <si>
    <t>Factors contributing to academic achievement among recently arrived Chinese adolescents in Australia remain relatively underexplored. Previous studies focused on Asian migrants, including Chinese, but did not distinguish Chinese from other Asian migrants. The current study specifically looks at Chinese migrants who have recently arrived, as opposed to Asian migrants. This study aims to explore the role of social support, school belonging, and acculturative stress on academic achievement of recently arrived Chinese adolescents (n = 55). Questionnaires were administered to this sample. The results indicated that school belonging, interestingly, was negatively associated with academic achievement. Perceived social support and acculturative stress were not significantly associated with academic achievement. The findings provide insights into risk and protective factors influencing academic achievement of Chinese migrants. Implications of the findings are discussed. (PsycINFO Database Record (c) 2018 APA, all rights reserved)</t>
  </si>
  <si>
    <t>http://search.ebscohost.com.proxy-ub.rug.nl/login.aspx?direct=true&amp;db=psyh&amp;AN=2016-13728-001&amp;site=ehost-live&amp;scope=site</t>
  </si>
  <si>
    <t>Accepting immigrants as fellow citizens: Citizenship representations in relation to migration policy preferences.</t>
  </si>
  <si>
    <t>Reijerse, Arjan; Vanbeselaere, Norbert; Duriez, Bart; Fichera, Giada</t>
  </si>
  <si>
    <t>Ethnic and Racial Studies</t>
  </si>
  <si>
    <t>2015-06070-003</t>
  </si>
  <si>
    <t>10.1080/01419870.2014.916812</t>
  </si>
  <si>
    <t>Acculturation; Citizenship; Cross Cultural Differences; Immigration; Ethnic Identity; Policy Making; Adolescence (13-17 yrs); Male; Female</t>
  </si>
  <si>
    <t>Citizenship representations within national populations have mainly been deduced from state policies on migration. Yet, at the individual level, no studies have investigated whether citizenship representations are reliably associated with preferences for specific migration policies (i.e. the underlying assumption for deducing citizenship representations from state policies). Because several studies have shown that state policies may not reflect understandings of citizenship within national populations, it may be more relevant to study citizenship representations at the individual level, in relation to personal preferences regarding migration policies. This study examined how ethnic, cultural and civic citizenship representations relate to migration policy preferences at the individual level among majority group high-school students (N = 1,734) in seven EU countries. Findings add to the understanding of citizenship representations and may have implications for the implementation of migration policies. (PsycINFO Database Record (c) 2016 APA, all rights reserved)</t>
  </si>
  <si>
    <t>http://search.ebscohost.com.proxy-ub.rug.nl/login.aspx?direct=true&amp;db=psyh&amp;AN=2015-06070-003&amp;site=ehost-live&amp;scope=site</t>
  </si>
  <si>
    <t>Access to and use of health services among undocumented Mexican immigrants in a US urban area.</t>
  </si>
  <si>
    <t>Nandi, Arijit; Galea, Sandro; Lopez, Gerald; Nandi, Vijay; Strongarone, Stacey; Ompad, Danielle C.</t>
  </si>
  <si>
    <t>American Journal of Public Health</t>
  </si>
  <si>
    <t>2008-15003-012</t>
  </si>
  <si>
    <t>10.2105/AJPH.2006.096222</t>
  </si>
  <si>
    <t>American Public Health Assn</t>
  </si>
  <si>
    <t>Health Care Services; Health Insurance; Immigration; Health Care Policy; Acculturation; Social Support; Latinos/Latinas; Adulthood (18 yrs &amp; older); Young Adulthood (18-29 yrs); Thirties (30-39 yrs); Middle Age (40-64 yrs); Male; Female</t>
  </si>
  <si>
    <t>Objectives: We assessed access to and use of health services among Mexican-born undocumented immigrants living in New York City in 2004. Methods: We used venue-based sampling to recruit participants from locations where undocumented immigrants were likely to congregate. Participants were 18 years or older, born in Mexico, and current residents of New York City. The main outcome measures were health insurance coverage, access to a regular health care provider, and emergency department care. Results: In multivariable models, living in a residence with fewer other adults, linguistic acculturation, higher levels of formal income, higher levels of social support, and poor health were associated with health insurance coverage. Female gender, fewer children, arrival before 1997, higher levels of formal income, health insurance coverage, greater social support, and not reporting discrimination were associated with access to a regular health care provider. Higher levels of education, higher levels of formal income, and poor health were associated with emergency department care. Conclusions: Absent large-scale political solutions to the challenges of undocumented immigrants, policies that address factors shown to limit access to care may improve health among this growing population. (PsycINFO Database Record (c) 2016 APA, all rights reserved)</t>
  </si>
  <si>
    <t>http://search.ebscohost.com.proxy-ub.rug.nl/login.aspx?direct=true&amp;db=psyh&amp;AN=2008-15003-012&amp;site=ehost-live&amp;scope=site</t>
  </si>
  <si>
    <t>Acculturation among three racial/ethnic groups of host and immigrant adolescents.</t>
  </si>
  <si>
    <t>Hsiao, James; Wittig, Michele Andrisin</t>
  </si>
  <si>
    <t>2008-16219-007</t>
  </si>
  <si>
    <t>10.1007/s10464-008-9205-9</t>
  </si>
  <si>
    <t>Acculturation; Immigration; Minority Groups; Racial and Ethnic Groups; Adolescence (13-17 yrs); Male; Female</t>
  </si>
  <si>
    <t>This study compares Latino host, Latino immigrant, Asian-American host, Asian-American immigrant and European-American host groups of adolescents with respect to four acculturation-related variables: ethnic identity exploration, ethnic identity affirmation/belonging, outgroup orientation, and American identity. Using the five ethno-generational categories as a grouping variable, we conducted analyses of 313 survey responses to the acculturation items at two time periods, 9 weeks apart. Results showed that differences among the three host racial/ethnic groups can best be explained by a group dominance perspective, whereby the two racial/ethnic minority groups are more similar to each other than they are to the European- American group. Furthermore, the relationship between American identity and ethnic identity components is stronger among the three host groups, as compared to the immigrant groups. Implications for future research with adolescent members of the host group whose heritage culture is non-European are drawn. (PsycINFO Database Record (c) 2016 APA, all rights reserved)</t>
  </si>
  <si>
    <t>http://search.ebscohost.com.proxy-ub.rug.nl/login.aspx?direct=true&amp;db=psyh&amp;AN=2008-16219-007&amp;site=ehost-live&amp;scope=site</t>
  </si>
  <si>
    <t>Acculturation and academic achievement of rural to urban migrant youth: The role of school satisfaction and family closeness.</t>
  </si>
  <si>
    <t>Fang, Lue</t>
  </si>
  <si>
    <t>2020-02208-015</t>
  </si>
  <si>
    <t>10.1016/j.ijintrel.2019.11.006</t>
  </si>
  <si>
    <t>Academic Achievement; Acculturation; Family; Rural Environments; Urban Environments; Human Migration; Role Satisfaction; Satisfaction; Childhood (birth-12 yrs); School Age (6-12 yrs); Adolescence (13-17 yrs); Adulthood (18 yrs &amp; older); Young Adulthood (18-29 yrs); Male; Female</t>
  </si>
  <si>
    <t>China's 'tidal wave' of rural to urban migration has had a tremendous impact on the educational outcomes of its children. It remains unexplored how and when do migrant children’s experience of acculturation following arrival in the place of settlement influence their academic achievement. This study used a stratified cross-sectional sample of 2412 Chinese migrant children and adolescents aged 10–18 (Mean = 14, 45 % female) to investigate the role of school satisfaction and family closeness in the relationship between acculturation patterns and academic achievement. Acculturation patterns are derived from the bidimensional model proposed by Berry (2005). The results indicated that integration had a positive association with concurrent academic achievement. School satisfaction was a mediator between integration and academic achievement. Furthermore, the full mediation of school satisfaction was only supported when there was a high level of family closeness. Findings from this study underline the usefulness of the bi-dimensional model in understanding the individual differences in academic achievement and suggest greater attention to the cultural variations in interpersonal functioning at the family and school context. (PsycINFO Database Record (c) 2020 APA, all rights reserved)</t>
  </si>
  <si>
    <t>http://search.ebscohost.com.proxy-ub.rug.nl/login.aspx?direct=true&amp;db=psyh&amp;AN=2020-02208-015&amp;site=ehost-live&amp;scope=site</t>
  </si>
  <si>
    <t>Acculturation and adaptation of immigrant adolescents in Greek urban schools.</t>
  </si>
  <si>
    <t>Motti-Stefanidi, Frosso; Pavlopoulos, Vassilis; Obradović, Jelena; Masten, Ann S.</t>
  </si>
  <si>
    <t>International Journal of Psychology</t>
  </si>
  <si>
    <t>2008-01606-006</t>
  </si>
  <si>
    <t>10.1080/00207590701804412</t>
  </si>
  <si>
    <t>Acculturation; Adaptation; Adolescent Development; Immigration; Urban Environments; Schools; Adolescence (13-17 yrs); Male; Female</t>
  </si>
  <si>
    <t>The purpose of this study was to examine the acculturation, psychological well-being, and school adjustment of Pontian adolescents from the former Soviet Union (FSU-Pontians), who are immigrants of the diaspora living in Greece, compared with an immigrant group from Albania and native Greek classmates. The sample included 165 FSU-Pontian immigrants, 272 immigrants from Albania, and their 525 Greek classmates (mean age = 13.7 years). School adjustment data were obtained using multiple methods and informants. Students also reported their subjective well-being and acculturation via multiple measures. Findings indicated that FSU-Pontian adolescents, although they are Greek citizens, had a stronger ethnic and a lower host-national orientation than did Albanian students. Both immigrant groups experienced similar difficulties in school adjustment. Involvement in Greek culture was a salient predictor of school adjustment, while involvement in one's ethnic culture was related to subjective well-being. Findings suggest that the acculturation expectations of host country members may be related to immigrants' acculturation orientations. (PsycINFO Database Record (c) 2018 APA, all rights reserved)</t>
  </si>
  <si>
    <t>http://search.ebscohost.com.proxy-ub.rug.nl/login.aspx?direct=true&amp;db=psyh&amp;AN=2008-01606-006&amp;site=ehost-live&amp;scope=site</t>
  </si>
  <si>
    <t>Acculturation and adjustment among immigrant youth: A meta-analytic study.</t>
  </si>
  <si>
    <t>Akcan, Perihan</t>
  </si>
  <si>
    <t>10-A(E)</t>
  </si>
  <si>
    <t>2017-33538-061</t>
  </si>
  <si>
    <t>Acculturation; Immigration; School Counseling; Socioeconomic Status</t>
  </si>
  <si>
    <t>International migration has reached extraordinary levels on a global scale. Likewise, immigrants' acculturation and adjustment patterns into their new settings have obtained considerable attention from scholars. Previous meta-analyses have attempted to lay out the association between acculturation and different forms of adjustment, however, results of this previous research yields conflicting findings regarding the impact of acculturation on adjustment and the moderating effects of contextual factors effecting this relationship. On the other hand, previous meta-analyses have not focused on a specific population such as immigrant youth, examined the academic adjustment patterns, nor looked at the moderating effects of generational status, thus, the significance of the acculturation-adjustment relationship among immigrant youth has not yet been explained in the literature. The present meta-analysis yielded significant but small associations between acculturation and adjustment, whereas no confounding effects of other variables (type of acculturation measure, adjustment domain, culture of origin, generational status, age, and gender) were found on acculturation-adjustment relationship among immigrant youth. Thus, results indicated that immigrant youths who are acculturated are more likely to be adjusted regardless of the type of the acculturation measure, adjustment domain and culture of origin, generational status, age and gender of the individuals. Furthermore, current research advocates for greater application of studies examining acculturation and adjustment relationship among under-represented cultures by examining more contextual factors (generational status, socioeconomic status, immigration status etc.), which will provide more data for future meta-analytic research. Expedient implications for school counselors and counselor educators, and crucial recommendations for future research and effective school policies are provided. (PsycINFO Database Record (c) 2017 APA, all rights reserved)</t>
  </si>
  <si>
    <t>http://search.ebscohost.com.proxy-ub.rug.nl/login.aspx?direct=true&amp;db=psyh&amp;AN=2017-33538-061&amp;site=ehost-live&amp;scope=site</t>
  </si>
  <si>
    <t>Acculturation and adjustment of migrants reporting trauma: The contextual effects of perceived ethnic density.</t>
  </si>
  <si>
    <t>Jurcik, Tomas; Sunohara, Momoka; Yakobov, Esther; Solopieiva‐Jurcikova, Ielyzaveta; Ahmed, Rana; Ryder, Andrew G.</t>
  </si>
  <si>
    <t>2019-21201-001</t>
  </si>
  <si>
    <t>10.1002/jcop.22183</t>
  </si>
  <si>
    <t>Acculturation; Adjustment; Human Migration; Neighborhoods; Trauma; Racial and Ethnic Groups; Social Density; Adulthood (18 yrs &amp; older); Male; Female</t>
  </si>
  <si>
    <t>Little is known about the relation between acculturation and socioecological contexts of migrants with a personal trauma history living in the community. This study represents an extension of our previous work and aimed to unpack the perceived neighborhood ethnic density (ED) effect and examine the moderating role of ED on the acculturation–adjustment relation in a community sample of migrants with trauma (N = 99) from developing countries residing in Montreal, Canada. ED was protective against general psychological distress but did not predict posttraumatic symptoms. The ED effect was mediated via degree of acculturation to the French–Canadian mainstream cultural context, rather than heritage acculturation, social support, or discrimination. Moreover, protective effects of French–Canadian mainstream acculturation for depressive symptoms and life satisfaction were found under high but not low ED conditions. Similarities and differences with our previous research as well as theoretical and prevention implications are discussed from a person–environment interaction perspective. (PsycINFO Database Record (c) 2019 APA, all rights reserved)</t>
  </si>
  <si>
    <t>http://search.ebscohost.com.proxy-ub.rug.nl/login.aspx?direct=true&amp;db=psyh&amp;AN=2019-21201-001&amp;site=ehost-live&amp;scope=site</t>
  </si>
  <si>
    <t>Acculturation and behavior problems of adolescents from African immigrant families in Portugal.</t>
  </si>
  <si>
    <t>Neto, Joana; Neto, Félix</t>
  </si>
  <si>
    <t>Acculturation: Psychology, processes and global perspectives.</t>
  </si>
  <si>
    <t>2015-27971-010</t>
  </si>
  <si>
    <t>Nova Science Publishers</t>
  </si>
  <si>
    <t>Chapter</t>
  </si>
  <si>
    <t>Acculturation; Adolescent Development; Behavior Problems; Family; Immigration; Adaptation; Adolescence (13-17 yrs); Male; Female</t>
  </si>
  <si>
    <t>The goals of this investigation were to examine the levels and the predictors of behavioral problems among youths with an African background. The sample included 359 youths from African immigrant families (Angolans, Cape-Verdeans, Guineans, Mozambicans, and Sao Tomese) living in Portugal. Their mean age was 14.3 years (SD = 1.1). Most of these adolescents were born in Portugal or had immigrated before the age of 7 years (81%). The mean length of sojourn in Portugal was 11.4 years (SD = 4.4). Participants answered the Behavior Problems Scale, in addition to measures of acculturation. A control group constituted by 294 native adolescents was also incorporated in the investigation. We found that youths from African immigrant families displayed similar levels of behavioral problems to those of their native Portuguese counterparts. Both sets of factors (demographic and acculturation variables) evidenced significant predictors of behavioral problems. Major predictors of behavioral problems were perceived discrimination, gender, linguistic behaviors, generation, and integration. (PsycInfo Database Record (c) 2020 APA, all rights reserved)</t>
  </si>
  <si>
    <t>http://search.ebscohost.com.proxy-ub.rug.nl/login.aspx?direct=true&amp;db=psyh&amp;AN=2015-27971-010&amp;site=ehost-live&amp;scope=site</t>
  </si>
  <si>
    <t>Acculturation and body mass among Latina women.</t>
  </si>
  <si>
    <t>Fuentes-Afflick, Elena; Hessol, Nancy A.</t>
  </si>
  <si>
    <t>Journal of Women's Health</t>
  </si>
  <si>
    <t>2008-01699-004</t>
  </si>
  <si>
    <t>10.1089/jwh.2007.0389</t>
  </si>
  <si>
    <t>Mary Ann Liebert, Inc.</t>
  </si>
  <si>
    <t>Acculturation; Body Mass Index; Human Females; Obesity; Latinos/Latinas; Adulthood (18 yrs &amp; older); Female</t>
  </si>
  <si>
    <t>Background: Acculturation is associated with an elevated risk of obesity among older Latinos, but the relationship between acculturation and body mass among childbearing Latina women has not been adequately studied. Methods: We analyzed data from 313 pregnant Latina women at San Francisco General Hospital. The dependent variable was prepregnancy body mass index (BMI), categorized as underweight (&lt;18.5), normal (18.5-24.9, reference), overweight (25-29.9), or obese (≥30). The independent variables were acculturation metrics, measured by acculturation index score, degree of Americanization, national origin subgroup, and the number of years residing in the United States. Results: One third of women were overweight, and one fifth were obese. Education (OR 0.88, 95% CI 0.81-0.96) was inversely associated with overweight, after adjusting for confounding variables. Longer residence in the United States (OR 1.08 for each additional year residing in the United States, 95% CI 1.02-1.15), older age (OR 1.08, 95% CI 1.01-1.16), and higher gravidity, the total number of pregnancies (OR 1.41, 95% CI 1.09-1.84), were significantly associated with obesity. Conclusions: One measure of acculturation, length of time residing in the United States, was associated with obesity among childbearing Latina women. Efforts to reduce the prevalence of overweight and obesity in Latina women should not target recent immigrants but instead focus on long-term immigrants as well as women who are older and have low educational attainment and high gravidity. (PsycINFO Database Record (c) 2016 APA, all rights reserved)</t>
  </si>
  <si>
    <t>http://search.ebscohost.com.proxy-ub.rug.nl/login.aspx?direct=true&amp;db=psyh&amp;AN=2008-01699-004&amp;site=ehost-live&amp;scope=site</t>
  </si>
  <si>
    <t>Acculturation and cardiovascular behaviors among Latinos in California by country/region of origin.</t>
  </si>
  <si>
    <t>Van Wieren, Andrew J.; Roberts, Mary B.; Arellano, Naira; Feller, Edward R.; Diaz, Joseph A.</t>
  </si>
  <si>
    <t>2011-25096-001</t>
  </si>
  <si>
    <t>10.1007/s10903-011-9483-4</t>
  </si>
  <si>
    <t>Acculturation; Cardiovascular Reactivity; Life Expectancy; Socioeconomic Status; Latinos/Latinas; Adulthood (18 yrs &amp; older); Male; Female</t>
  </si>
  <si>
    <t>Despite generally lower socioeconomic status and worse access to healthcare, Latinos have better overall health outcomes and longer life expectancy than non-Latino Whites. This ‘‘Latino Health Paradox’’ has been partially attributed to healthier cardiovascular (CV) behaviors among Latinos. However, as Latinos become more acculturated, differences in some CV behaviors disappear. This study aimed to explore how associations between acculturation and CV behaviors among Latinos vary by country of origin. Combined weighted data from the 2005 and 2007 California Health Interview Survey (CHIS) were used to investigate associations between acculturation level and CV behaviors among Latinos by country of origin. Among all Latinos, increased acculturation was associated with more smoking, increased leisure-time physical activity, and greater consumption of fast foods, but no change in fruit/vegetable and less soda intake. These trends varied, however, by Latino sub-groups from different countries of origin. Country of origin appears to impact associations between acculturation and CV behaviors among Latinos in complex ways. (PsycINFO Database Record (c) 2018 APA, all rights reserved)</t>
  </si>
  <si>
    <t>http://search.ebscohost.com.proxy-ub.rug.nl/login.aspx?direct=true&amp;db=psyh&amp;AN=2011-25096-001&amp;site=ehost-live&amp;scope=site</t>
  </si>
  <si>
    <t>Acculturation and changes in the likelihood of pregnancy and feelings about pregnancy among women of Mexican origin.</t>
  </si>
  <si>
    <t>Wilson, Ellen K.</t>
  </si>
  <si>
    <t>Women &amp; Health</t>
  </si>
  <si>
    <t>2008-17580-003</t>
  </si>
  <si>
    <t>10.1300/J013v47n01_03</t>
  </si>
  <si>
    <t>Haworth Press</t>
  </si>
  <si>
    <t>Acculturation; Family Planning; Female Attitudes; Mexican Americans; Pregnancy; Catholics; Immigration; Marriage; Poverty; Religiosity; Transgenerational Patterns; Adulthood (18 yrs &amp; older); Female</t>
  </si>
  <si>
    <t>This study explored the changes that occur with acculturation in the likelihood that women of Mexican origin in the United States get pregnant, that they considered their pregnancies intended, and that they were happy about their pregnancies. Data were from 924 women of Mexican origin in the 1995 National Survey of Family Growth. Results showed that, controlling for underlying differences in age and parity, Mexican-origin women born in the United States were less likely to conceive a pregnancy than first-generation immigrants (O.R. = 0.69, C.I. 0.56-0.83), but the pregnancies they conceived were less likely to be intended (O.R. = 0.53, C.I. 0.35-0.79), and they were less likely to be happy about them (O.R. = 0.76, C.I. 0.57-1.01). These changes were associated with the decreases in marriage, poverty, and Catholic religiosity that occurred between first-generation immigrants and women of later generations. Findings highlight the unmet need for effective family planning among women of all generations of migration, but particularly those born in the United States. (PsycINFO Database Record (c) 2016 APA, all rights reserved)</t>
  </si>
  <si>
    <t>http://search.ebscohost.com.proxy-ub.rug.nl/login.aspx?direct=true&amp;db=psyh&amp;AN=2008-17580-003&amp;site=ehost-live&amp;scope=site</t>
  </si>
  <si>
    <t>Acculturation and childhood obesity among immigrant Nigerian children in Northern California.</t>
  </si>
  <si>
    <t>Ike-Chinaka, Chidumam G.</t>
  </si>
  <si>
    <t>2014-99020-530</t>
  </si>
  <si>
    <t>Acculturation; At Risk Populations; Childhood Development; Immigration; Obesity; Childhood (birth-12 yrs); School Age (6-12 yrs); Adolescence (13-17 yrs)</t>
  </si>
  <si>
    <t>Obesity has been identified as a chronic disease in immigrant minority populations, contributing to an increased risk of high blood pressure, Type 2 diabetes, sleep apnea, cardiovascular diseases, stroke, and other chronic diseases. Prior to this study, it was unknown whether immigrant Nigerian children and adolescents aged 9 to 14 years are at higher risk for obesity as a result of acculturation after migrating to the United States. The purpose of this study, guided by the social cognitive theory, was to assess the risk factors that lead to increased childhood obesity in this at-risk population. Data were collected from 163 participants through a cross-sectional quantitative design involving the Youth Risk Behavior Surveillance Survey and Behavioral Risk Factor Surveillance System questionnaires, the body-mass index scale, and Stephenson's Multi-Group Acculturation Scale. Participants were recruited through flyers in a public setting. Descriptive statistics and multiple regression were used in the data analysis. The results indicated that multiple factors are responsible for high rates of obesity in this at-risk population, with results showing significant relationships between obesity and age ( p = .002), employment (p = .005), duration of residence in the United States (p &lt; .0005), and dominant society immersion (p = .001). Recommendations include developing community-based education programs and policies that support healthy lifestyles and conducting further research that increases the scope of study. This study has implications for positive social change in that it may increase awareness of the value of exercise and healthier eating patterns in the Nigerian community and may support the Healthy People 2020 goal of improving life expectancy and reducing obesity in at-risk populations. (PsycINFO Database Record (c) 2016 APA, all rights reserved)</t>
  </si>
  <si>
    <t>http://search.ebscohost.com.proxy-ub.rug.nl/login.aspx?direct=true&amp;db=psyh&amp;AN=2014-99020-530&amp;site=ehost-live&amp;scope=site</t>
  </si>
  <si>
    <t>Acculturation and consumer loyalty among immigrants: A cross-national study.</t>
  </si>
  <si>
    <t>Segev, Sigal; Ruvio, Ayalla; Shoham, Aviv; Velan, Dalia</t>
  </si>
  <si>
    <t>European Journal of Marketing</t>
  </si>
  <si>
    <t>2014-45609-002</t>
  </si>
  <si>
    <t>10.1108/EJM-06-2012-0343</t>
  </si>
  <si>
    <t>Acculturation; Consumer Behavior; Ethnic Identity; Loyalty; Immigration; Adulthood (18 yrs &amp; older); Male; Female</t>
  </si>
  <si>
    <t>Purpose: The purpose of this paper is to examine the effect of acculturation on immigrant consumers’ loyalty. The authors posit that the acculturation orientation of immigrants determines their consumer loyalty to both ethnic and mainstream brands and stores. Design/methodology/approach: Using a sample of Hispanic consumers in the USA and consumers from the former Soviet Union in Israel, this study tests a model in which two acculturation continua, original culture maintenance and host culture adaptation, serve as antecedents for immigrants’ consumer loyalty. Findings: Acculturation determines the extent of immigrants’ consumer loyalty. Both acculturation continua are associated with distinct loyalty patterns that are similar across the two immigrant groups. Research limitations/implications: Despite sampling limitations, the paper demonstrates that immigrants’ acculturation orientation influences their loyalty to ethnic and mainstream brands and stores. Shared by ethnic consumers in two culturally diverse markets, this relationship transcends geographic boundaries. Practical implications: The results provide insights for marketers with respect to the development of segmentation and positioning strategies and tactical implementations that address the preferences of ethnic consumers. Social implications: This paper highlights the importance of understanding the unique needs of ethnic consumers and addressing them. Successful integration of immigrant consumers into the marketplace can also help in their integration into the host society at large. Originality/value: Findings shed light on the commonalities and differences among immigrant groups in different national settings. The paper highlights the role of cultural transition as a key experience that affects immigrants regardless of specific environmental or situational circumstances. (PsycINFO Database Record (c) 2017 APA, all rights reserved)</t>
  </si>
  <si>
    <t>http://search.ebscohost.com.proxy-ub.rug.nl/login.aspx?direct=true&amp;db=psyh&amp;AN=2014-45609-002&amp;site=ehost-live&amp;scope=site</t>
  </si>
  <si>
    <t>Acculturation and dietary change among Chinese immigrant women in the United States.</t>
  </si>
  <si>
    <t>Tseng, Marilyn; Wright, David J.; Fang, Carolyn Y.</t>
  </si>
  <si>
    <t>2015-13114-011</t>
  </si>
  <si>
    <t>10.1007/s10903-014-0118-4</t>
  </si>
  <si>
    <t>Acculturation; Diets; Human Females; South Asian Cultural Groups; Chronicity (Disorders); Immigration; Adulthood (18 yrs &amp; older); Male; Female</t>
  </si>
  <si>
    <t>US Chinese immigrants undergo a transition to increased chronic disease risk commonly attributed to acculturative and dietary changes. Longitudinal data to confirm this are lacking. We examined acculturation and diet over time in 312 Chinese immigrant women in Philadelphia, recruited October 2005 to April 2008 and followed with interviews and dietary recalls until April 2010. Associations were modeled using generalized estimating equations to account for repeated measures over time. Increasing length of US residence was associated with a small (~1 %/year) but significant increase in acculturation score (p &lt; 0.0001), which in turn was significantly associated with increased energy density of the diet, percent of energy from fat, and sugar intake, and lower dietary moderation score. These findings provide longitudinal evidence that acculturation increases with length of US residence and is accompanied by dietary changes. However, the changes were small enough that their health impact is unclear. Factors besides acculturation that affect immigrant health and that affect the acculturation trajectory itself warrant investigation. (PsycINFO Database Record (c) 2016 APA, all rights reserved)</t>
  </si>
  <si>
    <t>http://search.ebscohost.com.proxy-ub.rug.nl/login.aspx?direct=true&amp;db=psyh&amp;AN=2015-13114-011&amp;site=ehost-live&amp;scope=site</t>
  </si>
  <si>
    <t>Acculturation and dietary pattern among Iranian immigrants in the United States of America.</t>
  </si>
  <si>
    <t>Sadeghi, Elham</t>
  </si>
  <si>
    <t>1-A(E)</t>
  </si>
  <si>
    <t>2018-52506-104</t>
  </si>
  <si>
    <t>Acculturation; Eating Behavior; Immigration; Adulthood (18 yrs &amp; older)</t>
  </si>
  <si>
    <t>Acculturation of the Iranian American immigrants and its influence on dietary patterns of Iranian was investigated. Effect of exposure to the U.S. culture and Western diets and prevalence of chronic diseases were examined. Acculturation was measured using the Iranian Acculturation Scale, and total acculturation score is calculated. Dietary patterns were measured using the Block Brief Food Questionnaire (BFQ), total foods and beverages consumed over the past year, as specified in BBFQ, were studied. Two hundred seven (N = 207) Iranian American immigrants completed the acculturation, food frequency and socio-demographic questionnaires. All participants were born in Iran, were 18 years of age or older and had lived more than one year in the U.S. About 37.5% of participants had acculturation scores indicating Iranian values; the majority (62.5%) had either adapted American values (26.5%) or had combined some American values (36%). Results indicate age at arrival, length of stay, English fluency, education and income are major factors determining level of acculturation, dietary patterns and prevalence of chronic diseases among Iranian American immigrants. Consumption of Western diet and level of acculturation was less among participants who lived longer (&gt; 10 years) in the U.S. and were older when they arrived to the US. The rate of family history of diabetes among participants was 39.1%., though 9% had pre-diabetes and 4% reported being diagnosed with Type 2 diabetes. A majority of the participants (87%) reported no secondary health concerns related to dietary intake. As Iranian American immigrants grow older their consumption of red meats, fast foods, soft drinks, potatoes, salty snacks, refined grains and sweets were significantly decreased and they consumed more vegetables. Given growing Iranian immigrants in U.S., a deep understanding of factors influencing dietary patterns of Iranian immigrates is necessary. Our study with small sample size (207) has several limitations, which should be rectified by future researchers. Therefore, conclusion about association between level of acculturation, dietary patterns and prevalence of chronic diseases among participants is limited. New Iranian immigrants especially those with school-aged children may become more aware of consumption of Western diet and ill effects on their overall wellbeing. (PsycINFO Database Record (c) 2018 APA, all rights reserved)</t>
  </si>
  <si>
    <t>http://search.ebscohost.com.proxy-ub.rug.nl/login.aspx?direct=true&amp;db=psyh&amp;AN=2018-52506-104&amp;site=ehost-live&amp;scope=site</t>
  </si>
  <si>
    <t>Acculturation and disability rates among Filipino-Americans.</t>
  </si>
  <si>
    <t>De Souza, Leanne R.; Fuller-Thomson, Esme</t>
  </si>
  <si>
    <t>2013-14543-002</t>
  </si>
  <si>
    <t>10.1007/s10903-012-9708-1</t>
  </si>
  <si>
    <t>Ability Level; Acculturation; Activities of Daily Living; Disabilities; Immigration; Pacific Islanders; Adulthood (18 yrs &amp; older); Middle Age (40-64 yrs); Aged (65 yrs &amp; older); Male; Female</t>
  </si>
  <si>
    <t>Filipinos are the fastest growing Asian subgroup in America. Among immigrants, higher acculturation (adaptation to host society) predicts disability outcomes and may relate to disability prevalence among older Filipinos. We conducted a secondary analysis of the 2006 American Community Survey using a representative sample of older Filipinos (2,113 males; 3,078 females) to measure functional limitations, limitations in activities of daily living, blindness/deafness and memory/learning problems. Filipino males who were Americans by birth/naturalization had higher odds of blindness/deafness (OR 2.94; 95 % CI = 1.69, 5.12) than non-citizens. Males who spoke English at home had higher odds of blindness/deafness (OR 1.82; 95 % CI = 1.05, 3.17) and memory/learning problems (OR 2.28; 95 % CI = 1.25, 4.15), while females had higher odds of memory/learning problems (OR 1.75; 95 % CI = 1.13, 2.73). Acculturation is associated with greater odds of disabilities for Filipino men. Males may be more sensitive to acculturation-effects than females due to culturally prescribed roles and gender-specific experiences at the time of immigration. (PsycINFO Database Record (c) 2016 APA, all rights reserved)</t>
  </si>
  <si>
    <t>http://search.ebscohost.com.proxy-ub.rug.nl/login.aspx?direct=true&amp;db=psyh&amp;AN=2013-14543-002&amp;site=ehost-live&amp;scope=site</t>
  </si>
  <si>
    <t>Acculturation and education level in relation to quality of the diet: A study of Surinamese South Asian and Afro-Caribbean residents of the Netherlands.</t>
  </si>
  <si>
    <t>Nicolaou, M.; van Dam, R. M.; Stronks, K.</t>
  </si>
  <si>
    <t>Journal of Human Nutrition and Dietetics</t>
  </si>
  <si>
    <t>2006-12005-009</t>
  </si>
  <si>
    <t>10.1111/j.1365-277X.2006.00720.x</t>
  </si>
  <si>
    <t>Blackwell Publishing</t>
  </si>
  <si>
    <t>Acculturation; African Cultural Groups; Diets; Educational Attainment Level; South Asian Cultural Groups; Immigration; Racial and Ethnic Differences; Adulthood (18 yrs &amp; older); Thirties (30-39 yrs); Middle Age (40-64 yrs); Male; Female</t>
  </si>
  <si>
    <t>Background: To consider the changes in overall diet quality following migration we examined the associations of acculturation variables and education level with diet in Surinamese South Asian and Surinamese Afro-Caribbean origin on the one hand, and ethnic Dutch residents of the Netherlands on the other. Surinam is a former Dutch colony in South America. Methods: We randomly selected men and women aged 35-60 years: ethnic Dutch, n = 552; South Asian, n = 306; Afro-Caribbean, n = 660. Intakes of fruit, vegetables, red meat, fish, vegetable oils, breakfast and salt were measured using a short questionnaire that formed the basis for a 'diet quality indicator' score. Highest education was measured and acculturation of the Surinamese groups was assessed by age at migration, number of resident years and a scale measure of social contacts with ethnic Dutch. Results: Compared with ethnic Dutch, both Surinamese groups scored higher on overall diet quality (P ≤ 0.001) but some aspects of diet (breakfast and salt use) were less prudent. Education was positively associated with diet quality in ethnic Dutch (P ≤ 0.01), but not consistently so in Surinamese. Associations with social contact with ethnic Dutch varied for different quality aspects of the diet. Residence duration (mean = 22 years) and age at migration (mean = 21 years) were not associated with diet. Conclusions: A greater degree of acculturation does not necessarily lead to a less healthful diet in migrants. In addition, the association of education level with diet may differ for migrant groups. The diet of migrants differ from host populations, suggesting that migrant groups should be considered in the development of nutrition health promotion activities. (PsycINFO Database Record (c) 2016 APA, all rights reserved)</t>
  </si>
  <si>
    <t>http://search.ebscohost.com.proxy-ub.rug.nl/login.aspx?direct=true&amp;db=psyh&amp;AN=2006-12005-009&amp;site=ehost-live&amp;scope=site</t>
  </si>
  <si>
    <t>Acculturation and ethnic group differences in well-being among Somali, Latino, and Hmong adolescents.</t>
  </si>
  <si>
    <t>Areba, Eunice M.; Watts, Allison W.; Larson, Nicole; Eisenberg, Marla E.; Neumark-Sztainer, Dianne</t>
  </si>
  <si>
    <t>American Journal of Orthopsychiatry</t>
  </si>
  <si>
    <t>2020-81925-001</t>
  </si>
  <si>
    <t>10.1037/ort0000482</t>
  </si>
  <si>
    <t>Academic Achievement; Acculturation; Racial and Ethnic Differences; Well Being; African Cultural Groups; Ethnic Identity; Mental Health; Southeast Asian Cultural Groups; Latinos/Latinas; Substance Use Disorder; Childhood (birth-12 yrs); School Age (6-12 yrs); Adolescence (13-17 yrs); Male; Female</t>
  </si>
  <si>
    <t>Research addressing the linkages between acculturation and markers of adolescent well-being across multiple ethnic minority groups is limited in scope and breadth, even though children of immigrant origin are the fastest growing population. We examined cross-sectional relationships between acculturation and substance use, socioemotional well-being, and academic achievement. Somali, Latino, and Hmong adolescents in Minnesota provided data as part of the EAT 2010 (Eating and Activity in Teens) cohort study (N = 1,066). Acculturation was based on nativity, language usually spoken at home, and length of residence in the United States. Chi-square, ANOVA, and regression models were used to test for differences in adolescent well-being by acculturation and ethnic group, and interaction terms were added to models to test effect modification by ethnicity. Hmong adolescents had the highest mean acculturation scores (4.4 ± 1.5), whereas Somali adolescents (2.2 ± 1.8) were the least acculturated. Independent of ethnicity, acculturation was positively associated with marijuana (OR: 1.38; CI [1.25, 1.53]) and alcohol use (OR: 1.12; CI [1.02, 1.22]), and was negatively associated with academic achievement, based on grade point average (β = −0.07; CI [−0.12, −0.03]). Interaction effects indicated significant differences by ethnicity only for academic achievement; significant associations between acculturation and academic achievement were evident only for Somali and Latino youth. Prevention programming should include supports for multilingual and multicultural learners and account for cultural assets within immigrant origin families that maintain and nurture protective factors as adolescents acculturate and transition into young adulthood. (PsycInfo Database Record (c) 2021 APA, all rights reserved)</t>
  </si>
  <si>
    <t>http://search.ebscohost.com.proxy-ub.rug.nl/login.aspx?direct=true&amp;db=psyh&amp;AN=2020-81925-001&amp;site=ehost-live&amp;scope=site</t>
  </si>
  <si>
    <t>Acculturation and expectations: Unpacking adjustment mechanisms within the Russian-speaking community in Montreal.</t>
  </si>
  <si>
    <t>Yakobov, Esther; Jurcik, Tomas; Solopieieva-Jurcikova, Liza; Ryder, Andrew G.</t>
  </si>
  <si>
    <t>2018-66762-007</t>
  </si>
  <si>
    <t>10.1016/j.ijintrel.2018.11.001</t>
  </si>
  <si>
    <t>Acculturation; Emotional Adjustment; Expectations; Immigration; European Cultural Groups; Personality Traits; Test Construction; Adulthood (18 yrs &amp; older); Male; Female</t>
  </si>
  <si>
    <t>Recent years have witnessed a significant growth in the Russian-speaking community in Montreal, Canada. However, little is currently known about the predictors of psychological adjustment in immigrants from the Former Soviet Union (FSU). In this study we explored the expectations that this group of immigrants (N = 271) hoped to fulfill in their adopted society, the extent to which these expectations have been fulfilled, and the impact of fulfilled expectations on psychological adjustment. We found that the degree of fulfilled expectations was significantly associated with better psychological adjustment independent of personality traits, language proficiency, and acculturation. These findings contribute to the literature on cross-cultural adaptation of immigrants from the FSU and highlight the potential importance of expectations for the study of acculturation more generally. (PsycINFO Database Record (c) 2019 APA, all rights reserved)</t>
  </si>
  <si>
    <t>http://search.ebscohost.com.proxy-ub.rug.nl/login.aspx?direct=true&amp;db=psyh&amp;AN=2018-66762-007&amp;site=ehost-live&amp;scope=site</t>
  </si>
  <si>
    <t>Acculturation and Health Beliefs of Mexican Americans Regarding Tuberculosis Prevention.</t>
  </si>
  <si>
    <t>Rodríguez-Reimann, Dolores I.; Nicassio, Perry; Reimann, Joachim O. F.; Gallegos, Plácida I.; Olmedo, Esteban L.</t>
  </si>
  <si>
    <t>Journal of Immigrant Health</t>
  </si>
  <si>
    <t>2004-11956-002</t>
  </si>
  <si>
    <t>10.1023/B:JOIH.0000019165.09266.71</t>
  </si>
  <si>
    <t>Acculturation; Health Behavior; Human Sex Differences; Mexican Americans; Tuberculosis; Adulthood (18 yrs &amp; older); Aged (65 yrs &amp; older); Male; Female</t>
  </si>
  <si>
    <t>Mexican Americans are at particular risk of contracting tuberculosis. Yet too little is known about perceptions influencing their health. This study investigated gender and acculturation differences in TB-specific Health Belief Model (HBM) constructs, and the applicability of the HBM's traditional configuration to Mexican Americans. Acculturation and gender substantially influenced the findings. Traditional Mexican Americans reported higher perceived susceptibility and seriousness, more barriers, and greater attention to cues regarding TB prevention than Highly Integrated Biculturals. Women reported greater benefits, attention to cues, and intent to engage in TB prevention behaviors than men. Highly Integrated Bicultural men reported less attention to cues and less intent to engage in health behaviors than other groups. The traditional HBM configuration did not fit this sample. Reconfiguration did, however, result in adequate fit. Overall, higher perceived susceptibility, action benefits, attention to media cues, and female gender predicted greater intent to engage in TB health behaviors. (PsycINFO Database Record (c) 2016 APA, all rights reserved)</t>
  </si>
  <si>
    <t>http://search.ebscohost.com.proxy-ub.rug.nl/login.aspx?direct=true&amp;db=psyh&amp;AN=2004-11956-002&amp;site=ehost-live&amp;scope=site</t>
  </si>
  <si>
    <t>Acculturation and health of Korean American adults.</t>
  </si>
  <si>
    <t>Shin, Cha-Nam; Lach, Helen W.</t>
  </si>
  <si>
    <t>2014-39238-009</t>
  </si>
  <si>
    <t>10.1177/1043659614523454</t>
  </si>
  <si>
    <t>Acculturation; Cluster Analysis; Immigration; Health Disparities; Health; Marginalization; Adulthood (18 yrs &amp; older); Male; Female</t>
  </si>
  <si>
    <t>Increasing cultural diversity in the United States and significant health disparities among immigrant populations make acculturation an important concept to measure in health research. The purpose of this cross-sectional, descriptive study was to examine acculturation and health of Korean American adults. A convenience sample of 517 Korean American adults in a Midwestern city completed a survey in either English or Korean. All four groups of Berry’s acculturation model were identified using cluster analysis with Lee’s Acculturation Scale. Assimilation, integration, and separation were found in the English survey sample, whereas integration, separation, and marginalization were found in the Korean survey sample. Moreover, the findings revealed that acculturation is a bidimensional process, and the unique nature of samples may determine acculturation groups. Physical health and mental health were significantly related to acculturation in the English survey sample. However, there was not a significant relationship between health and acculturation in the Korean survey sample. (PsycINFO Database Record (c) 2016 APA, all rights reserved)</t>
  </si>
  <si>
    <t>http://search.ebscohost.com.proxy-ub.rug.nl/login.aspx?direct=true&amp;db=psyh&amp;AN=2014-39238-009&amp;site=ehost-live&amp;scope=site</t>
  </si>
  <si>
    <t>Acculturation and health survey question comprehension among Latino respondents in the US.</t>
  </si>
  <si>
    <t>Cho, Young Ik; Holbrook, Allyson; Johnson, Timothy P.</t>
  </si>
  <si>
    <t>2013-14543-010</t>
  </si>
  <si>
    <t>10.1007/s10903-012-9737-9</t>
  </si>
  <si>
    <t>Acculturation; Comprehension; Language Proficiency; Surveys; Health Literacy; Immigration; Latinos/Latinas; Adulthood (18 yrs &amp; older); Young Adulthood (18-29 yrs); Thirties (30-39 yrs); Middle Age (40-64 yrs); Male; Female</t>
  </si>
  <si>
    <t>Although research has documented cultural variability in respondent comprehension and interpretation of survey questions, little information is currently available on the role that acculturation might play in minimizing cross-cultural differences in the comprehension or interpretation of survey questions. To investigate this problem, we examine the potential effects of acculturation to host culture on respondent comprehension of a set of health survey questions among two distinct Latino populations on the US mainland: Mexican–Americans and Puerto Ricans. Specifically, comprehension-related respondent behaviors coded from 345 face-to-face interviews conducted with Mexican–American, Puerto Rican, African American, and non-Latino White adults living in Chicago are examined. Findings indicate that Latino respondents who were born outside of the US and who have a preference for communicating in Spanish, relative to English, were more likely to express comprehension difficulties. These findings suggest that pretest survey instruments with immigrant populations may be a useful strategy for identifying problematic questions. (PsycINFO Database Record (c) 2016 APA, all rights reserved)</t>
  </si>
  <si>
    <t>http://search.ebscohost.com.proxy-ub.rug.nl/login.aspx?direct=true&amp;db=psyh&amp;AN=2013-14543-010&amp;site=ehost-live&amp;scope=site</t>
  </si>
  <si>
    <t>Acculturation and illness.</t>
  </si>
  <si>
    <t>Ruesch, Jurgen; Jacobson, Annemarie; Loeb, Martin B.</t>
  </si>
  <si>
    <t>Psychological Monographs: General and Applied</t>
  </si>
  <si>
    <t>i</t>
  </si>
  <si>
    <t>2011-16207-001</t>
  </si>
  <si>
    <t>10.1037/h0093582</t>
  </si>
  <si>
    <t>Acculturation; Culture (Anthropological); Culture Change; Illness Behavior; Immigration; Childhood Development; Ethnic Identity; Adulthood (18 yrs &amp; older); Young Adulthood (18-29 yrs); Thirties (30-39 yrs); Middle Age (40-64 yrs)</t>
  </si>
  <si>
    <t>In the present paper an attempt is made to study the dynamics of culture change from ethnic to American in relation to illness. Acculturation takes place when a person changes from ethnic to American, from military to civilian life, from one region of the country to another, from rural to urban living, or from one social class to another. This study is concerned primarily with acculturation of immigrants or their children and grandchildren. Observation was made that various nationalities presented different problems of acculturation. Psychotherapy has to work out the problems of motivation for culture change, and touch upon early childhood identifications. Eventually a belated identification can be accomplished through successful identification with the psychotherapist, which in turn will make it possible for the individual to accept the majority of the new values. (PsycINFO Database Record (c) 2016 APA, all rights reserved)</t>
  </si>
  <si>
    <t>http://search.ebscohost.com.proxy-ub.rug.nl/login.aspx?direct=true&amp;db=psyh&amp;AN=2011-16207-001&amp;site=ehost-live&amp;scope=site</t>
  </si>
  <si>
    <t>Acculturation and immigrants: The moderating effect of cultural identity salience and harmony enhancement and the mediating effect of social support and ostracism on the relationship between acculturation demands and employee outcomes.</t>
  </si>
  <si>
    <t>Williams, Myia S.</t>
  </si>
  <si>
    <t>2-B(E)</t>
  </si>
  <si>
    <t>2018-00726-208</t>
  </si>
  <si>
    <t>Acculturation; Employee Characteristics; Ethnic Identity; Social Support; Cultural Identity; Adulthood (18 yrs &amp; older)</t>
  </si>
  <si>
    <t>Acculturation presents a major life event which introduces severe threats to the psychological well-being of an immigrant. In the working environment, these threats are known as acculturation demands, which are dynamic work conditions which have the potential to hinder an immigrant from having or doing what he or she wants (Bhagat &amp; London, 1999). Despite an influx of immigrants in the workplace in the United States, there is still limited research on the effects of acculturation demands on immigrant employees in the host culture. Using Berry's (1997) theoretical framework on the acculturation process, the study examined the moderating effects of harmony enhancement and cultural identity salience and the mediating effects of ostracism and social support on the relationship between acculturation demands, acculturation strategies, job strains and employee outcomes. Based on a time lagged design across two time points, each a one month apart, results showed acculturation demands was positively related to anxiety, depression, turnover intentions, assimilation, marginalization and separation acculturation strategies and negatively related to engagement and affective commitment. Multiple moderated regression analysis, showed support for the moderating effect of harmony enhancement but not cultural identity salience. Additionally, integration strategy was the most favorable strategy, while marginalization was the most detrimental. It should be noted that integration subscale of the acculturation strategies scale had an alpha level of .54, therefore results should be interpreted with caution. There was also an indirect effect of social support on the relationship between integration and acculturation demands, while ostracism mediated the relationship between anxiety and both marginalization and separation strategies. Theoretical and practical implications of these findings as well as limitation and future research are discussed in this study. (PsycInfo Database Record (c) 2020 APA, all rights reserved)</t>
  </si>
  <si>
    <t>http://search.ebscohost.com.proxy-ub.rug.nl/login.aspx?direct=true&amp;db=psyh&amp;AN=2018-00726-208&amp;site=ehost-live&amp;scope=site</t>
  </si>
  <si>
    <t>Acculturation and Its Relationship to Smoking and Breast Self-Examination Frequency in African American Women.</t>
  </si>
  <si>
    <t>Guevarra, Josephine S.; Kwate, Naa Oyo A.; Tang, Tricia S.; Valdimarsdottir, Heiddis B.; Freeman, Harold P.; Bovbjerg, Dana H.</t>
  </si>
  <si>
    <t>2005-04964-008</t>
  </si>
  <si>
    <t>10.1007/s10865-005-3668-z</t>
  </si>
  <si>
    <t>Acculturation; Cancer Screening; Health Behavior; Self-Examination (Medical); Tobacco Smoking; Human Females; Adulthood (18 yrs &amp; older); Young Adulthood (18-29 yrs); Thirties (30-39 yrs); Middle Age (40-64 yrs); Aged (65 yrs &amp; older); Female</t>
  </si>
  <si>
    <t>The concept of acculturation has been used to understand differences in health behaviors between and within a variety of racial and ethnic immigrant groups. Few studies, however, have examined the potential impact of acculturation on health behaviors among African Americans. The present study has two goals: 1) to reconfirm relations between acculturation and cigarette smoking; 2) to investigate the impact of acculturation on another type of health behavior, cancer screening and specifically breast self-examination (BSE). African American women (N = 66) attending an inner-city cancer-screening clinic completed study questionnaires. Results reconfirmed psychometric properties of the African American Acculturation Scale (AAAS); replicated the negative association between acculturation and lifetime smoking status; and found relations between acculturation and women's adherence to BSE frequency guidelines. Findings from this study raise the possibility that specific aspects of acculturation may better explain specific health behaviors. (PsycINFO Database Record (c) 2016 APA, all rights reserved)</t>
  </si>
  <si>
    <t>http://search.ebscohost.com.proxy-ub.rug.nl/login.aspx?direct=true&amp;db=psyh&amp;AN=2005-04964-008&amp;site=ehost-live&amp;scope=site</t>
  </si>
  <si>
    <t>Acculturation and its relationship to somatic tendencies among Bangladeshi and Asian Indian immigrants.</t>
  </si>
  <si>
    <t>Mansur, Rumana</t>
  </si>
  <si>
    <t>11-B</t>
  </si>
  <si>
    <t>2012-99100-510</t>
  </si>
  <si>
    <t>Acculturation; Immigration; South Asian Cultural Groups</t>
  </si>
  <si>
    <t>The goal of the current study was to examine Bangladeshi and Indian immigrants' levels of acculturation and how acculturation relates to somatic complaints. A culturally appropriate Negative Life Events list was created in order to capture types of distress that participants might be experiencing. A culturally appropriate acculturation inventory was also created to measure acculturation. Participants' somatic tendencies were measured using the Bradford Somatic Inventory (BSI). One hundred eighty-seven non-clinical participants from Bangladeshi and Indian backgrounds participated in this study. Results indicated a significant relationship between number of negative life events and somatic tendencies. Findings failed to show significant relationships between acculturation levels and somatic tendencies. (PsycINFO Database Record (c) 2016 APA, all rights reserved)</t>
  </si>
  <si>
    <t>http://search.ebscohost.com.proxy-ub.rug.nl/login.aspx?direct=true&amp;db=psyh&amp;AN=2012-99100-510&amp;site=ehost-live&amp;scope=site</t>
  </si>
  <si>
    <t>Acculturation and language orientations of Turkish immigrants in Australia, France, Germany, and the Netherlands.</t>
  </si>
  <si>
    <t>Yağmur, Kutlay; van de Vijver, Fons J. R.</t>
  </si>
  <si>
    <t>2012-24005-007</t>
  </si>
  <si>
    <t>10.1177/0022022111420145</t>
  </si>
  <si>
    <t>Acculturation; Adjustment; Immigration; Language; Sociocultural Factors; Male; Female</t>
  </si>
  <si>
    <t>The authors examined acculturation and language orientations among Turkish immigrants in Australia (n = 283), France (n = 266), Germany (n = 265), and the Netherlands (n = 271). They expected that the countries with the least pluralistic climate (France and Germany) would show the lowest level of sociocultural adjustment and the highest level of ethnic orientation and language use; the opposite was expected in Australia, as the country with the most pluralistic climate; and the Netherlands would have an intermediate position. The predictions were largely borne out. The language orientation measures yielded a (symbolic) language value factor and a (behavioral) language preference factor. In all countries Turkish identity was a positive predictor and mainstream identity a negative predictor of both the language value and preference factor. Mainstream and Turkish identity showed stronger negative correlations in the less pluralistic countries. It is concluded that immigrants showed the least maintenance and the most adjustment in Australia, which is the country with the least pressure to assimilate. (PsycINFO Database Record (c) 2016 APA, all rights reserved)</t>
  </si>
  <si>
    <t>http://search.ebscohost.com.proxy-ub.rug.nl/login.aspx?direct=true&amp;db=psyh&amp;AN=2012-24005-007&amp;site=ehost-live&amp;scope=site</t>
  </si>
  <si>
    <t>Acculturation and metabolic syndrome risk factors in young Mexican and Mexican–American women.</t>
  </si>
  <si>
    <t>Vella, Chantal A.; Ontiveros, Diana; Zubia, Raul Y.; Bader, Julia O.</t>
  </si>
  <si>
    <t>2011-01094-016</t>
  </si>
  <si>
    <t>10.1007/s10903-009-9299-7</t>
  </si>
  <si>
    <t>Acculturation; Metabolic Syndrome; Mexican Americans; Risk Factors; Human Females; Adulthood (18 yrs &amp; older); Young Adulthood (18-29 yrs); Thirties (30-39 yrs); Female</t>
  </si>
  <si>
    <t>Little is known about effects of acculturation on disease risk in young Mexican and Mexican–American women living in a border community. The purpose of this study was to examine relationships between acculturation and features of metabolic syndrome (MetS) in Mexican and Mexican–American women (n = 60) living in the largest US-Mexico border community. Acculturation was measured by the short acculturation scale for Hispanics and birthplace. Body composition was measured by Bod Pod and daily physical activity was measured by questionnaire and accelerometer. Increased acculturation was related to individual features of MetS and increased risk of MetS. These relationships were mediated by fat mass rather than inactivity. Fat mass mediates the relationships between acculturation and individual features of MetS in young Mexican and Mexican–American women. These findings suggest that fat mass, rather than inactivity, is an important contributor to disease risk in young Mexican and Mexican–American women living in a large US/Mexico border community. (PsycINFO Database Record (c) 2016 APA, all rights reserved)</t>
  </si>
  <si>
    <t>http://search.ebscohost.com.proxy-ub.rug.nl/login.aspx?direct=true&amp;db=psyh&amp;AN=2011-01094-016&amp;site=ehost-live&amp;scope=site</t>
  </si>
  <si>
    <t>Acculturation and naturalization: Insights from representative and longitudinal migration studies in Germany.</t>
  </si>
  <si>
    <t>Maehler, Débora B.; Weinmann, Martin; Hanke, Katja</t>
  </si>
  <si>
    <t>Frontiers in Psychology</t>
  </si>
  <si>
    <t>2019-32831-001</t>
  </si>
  <si>
    <t>10.3389/fpsyg.2019.01160</t>
  </si>
  <si>
    <t>Frontiers Media S.A.</t>
  </si>
  <si>
    <t>Acculturation; Citizenship; Human Migration; Immigration; Social Integration; Experimentation; Group Cohesion; Motivation; Adulthood (18 yrs &amp; older); Young Adulthood (18-29 yrs); Thirties (30-39 yrs); Middle Age (40-64 yrs); Aged (65 yrs &amp; older); Very Old (85 yrs &amp; older); Male; Female</t>
  </si>
  <si>
    <t>In recent years, Western countries have been experiencing a growing wave of immigration. Due to this development, these countries are facing great challenges in successfully integrating large numbers of immigrants and in preserving social cohesion. Research has already developed several assumptions about and models of how acculturation processes occur. The present contribution aims to investigate the relationship between the acculturation (and acculturation profiles) of immigrants and naturalization in their residence countries. Based on representative and longitudinal data, our investigation is a case study on Germany—one of the main receiving countries in recent years. Results show that acculturation in the country of residence is crucial for immigrants' motivation to take up citizenship. Likewise naturalization leads to an increase in identification with the residence country. (PsycInfo Database Record (c) 2020 APA, all rights reserved)</t>
  </si>
  <si>
    <t>http://search.ebscohost.com.proxy-ub.rug.nl/login.aspx?direct=true&amp;db=psyh&amp;AN=2019-32831-001&amp;site=ehost-live&amp;scope=site</t>
  </si>
  <si>
    <t>Acculturation and other risk factors of depressive disorders in individuals with Turkish migration backgrounds.</t>
  </si>
  <si>
    <t>Janssen-Kallenberg, Hanna; Schulz, Holger; Kluge, Ulrike; Strehle, Jens; Wittchen, Hans-Ulrich; Wolfradt, Uwe; Koch-Gromus, Uwe; Heinz, Andreas; Mösko, Mike; Dingoyan, Demet</t>
  </si>
  <si>
    <t>BMC Psychiatry</t>
  </si>
  <si>
    <t>2017-31881-001</t>
  </si>
  <si>
    <t>10.1186/s12888-017-1430-z</t>
  </si>
  <si>
    <t>BioMed Central Limited</t>
  </si>
  <si>
    <t>Acculturation; Human Migration; Major Depression; Risk Factors; Adulthood (18 yrs &amp; older); Young Adulthood (18-29 yrs); Thirties (30-39 yrs); Middle Age (40-64 yrs); Aged (65 yrs &amp; older); Male; Female</t>
  </si>
  <si>
    <t>Background: Acculturation is a long-term, multi-dimensional process occurring when subjects of different cultures stay in continuous contact. Previous studies have suggested that elevated rates of depression among different migrant groups might be due to patterns of acculturation and migration related risk factors. This paper focused on prevalence rates of depressive disorders and related risk factors among individuals with Turkish migration backgrounds. Methods: A population-based sample of 662 individuals with Turkish migration backgrounds were interviewed by bilingual interviewers using a standardised diagnostic interview for DSM-IV-TR and ICD-10 diagnoses (CIDI DIA-X Version 2.8). Associations between 12-month prevalence rates of depressive disorders with potential risk factors were assessed, including gender, age, socioeconomic status, acculturation status and migration status. Results: 12-month prevalence rates of any depressive disorder were 29.0%, 14.4% of major depressive disorder (MDD) and 14.7% of dysthymia. Older age and low socioeconomic status were most consistently related to higher risks of depressive disorders. Acculturation status showed associations with subtypes of depressive disorder. Associations differed between men and women. Symptom severity of MDD was linked to gender, with females being more affected by severe symptoms. Conclusion: The prevalence of depressive disorders is high in individuals with Turkish migration backgrounds, which can be partly explained by older age, low socioeconomic status and acculturation pressures. Only a limited number of risk factors were assessed. Acculturation in particular is a complex process which might not be sufficiently represented by the applied measures. Further risk factors have to be identified in representative samples of this migrant group. (PsycInfo Database Record (c) 2020 APA, all rights reserved)</t>
  </si>
  <si>
    <t>http://search.ebscohost.com.proxy-ub.rug.nl/login.aspx?direct=true&amp;db=psyh&amp;AN=2017-31881-001&amp;site=ehost-live&amp;scope=site</t>
  </si>
  <si>
    <t>Acculturation and perceived mental health need among older Asian immigrants.</t>
  </si>
  <si>
    <t>Nguyen, Duy</t>
  </si>
  <si>
    <t>2011-20653-010</t>
  </si>
  <si>
    <t>10.1007/s11414-011-9245-z</t>
  </si>
  <si>
    <t>Acculturation; Immigration; Mental Health; Minority Groups; Adulthood (18 yrs &amp; older); Middle Age (40-64 yrs); Aged (65 yrs &amp; older); Male; Female</t>
  </si>
  <si>
    <t>The demographic landscape of the United States is changing as the general population ages and the size of racial/ethnic minority groups grows. Most prior studies on mental health service use among Asians in America have overlooked older adults. A deeper understanding of the way acculturation factors impact help-seeking behaviors among older Asian Americans will inform behavioral health practice and program planners as they address the disparities affecting a diverse racial group. The California Health Interview Survey was used to examine the correlates of perceived mental health need among 980 older Asian immigrants. The study found that English proficiency and other covariates affected how Asian Americans perceived mental health need. Implications for understanding the help-seeking behaviors of older Asian immigrants are discussed. (PsycINFO Database Record (c) 2016 APA, all rights reserved)</t>
  </si>
  <si>
    <t>http://search.ebscohost.com.proxy-ub.rug.nl/login.aspx?direct=true&amp;db=psyh&amp;AN=2011-20653-010&amp;site=ehost-live&amp;scope=site</t>
  </si>
  <si>
    <t>Acculturation and post-migration stress in middle-aged Chinese immigrant women in Philadelphia: Variation between the Fujianese and the non-Fujianese women.</t>
  </si>
  <si>
    <t>Ying, Yu-Wen; Han, Meekyung; Tseng, Marilyn</t>
  </si>
  <si>
    <t>Journal of Human Behavior in the Social Environment</t>
  </si>
  <si>
    <t>2012-02585-002</t>
  </si>
  <si>
    <t>10.1080/15433714.2011.597303</t>
  </si>
  <si>
    <t>Acculturation; Chinese Cultural Groups; Human Migration; Immigration; Stress; Human Females; Regional Differences; Adulthood (18 yrs &amp; older); Female</t>
  </si>
  <si>
    <t>This study examines acculturation and post-migration stress in 204 Fujianese immigrant women and 162 female immigrants from other parts of China currently residing in Philadelphia. Bivariate analyses showed variation in demographic characteristics between the Fujianese and non-Fujianese women was marginal, and both reported a unidimensional process of acculturation. However, the Fujianese women showed a higher level of post-migration stress. After controlling for demographic characteristics, more acculturated women reported greater post-migration stress. Further, separate multiple regression analyses for the Fujianese and the non-Fujianese women revealed different post-migration stress models. (PsycINFO Database Record (c) 2016 APA, all rights reserved)</t>
  </si>
  <si>
    <t>http://search.ebscohost.com.proxy-ub.rug.nl/login.aspx?direct=true&amp;db=psyh&amp;AN=2012-02585-002&amp;site=ehost-live&amp;scope=site</t>
  </si>
  <si>
    <t>Acculturation and psychological adjustment of Vietnamese refugees: An ecological acculturation framework.</t>
  </si>
  <si>
    <t>Salo, Corrina D.; Birman, Dina</t>
  </si>
  <si>
    <t>2015-46519-001</t>
  </si>
  <si>
    <t>10.1007/s10464-015-9760-9</t>
  </si>
  <si>
    <t>Acculturation; Emotional Adjustment; Refugees; Vietnamese Cultural Groups; Structural Equation Modeling; Adulthood (18 yrs &amp; older); Young Adulthood (18-29 yrs); Thirties (30-39 yrs); Middle Age (40-64 yrs); Aged (65 yrs &amp; older); Male; Female</t>
  </si>
  <si>
    <t>Acculturation to the culture of the host society as well as to one’s heritage culture have been shown to impact immigrants’ adjustment during the years following resettlement. While acculturation has been identified as an important factor in adjustment of Vietnamese immigrants (Birman and Tran in Am J Orthopsychiatr 78(1):109–120. doi: 10.1037/0002-9432.78.1.109 , 2008), no clear pattern of findings has emerged and too few studies have employed an ecological approach. The purpose of this paper is to contextualize the study of acculturation and adjustment by taking an ecological approach to exploring these relationships across several life domains, using a bilinear scale, and examining mediators of these relationships for adult Vietnamese refugees (N = 203) in the United States. We call this approach the Ecological Acculturation Framework (EAF). Results of a structural equation model (SEM) showed that job satisfaction fully mediated the relationship between American acculturation and psychological distress, demonstrating that this relationship was specific to an occupational domain. However, while Vietnamese acculturation predicted co-ethnic social support satisfaction, it did not predict reduced psychological distress. Implications for a life domains approach, including domain specificity, are discussed. (PsycINFO Database Record (c) 2017 APA, all rights reserved)</t>
  </si>
  <si>
    <t>http://search.ebscohost.com.proxy-ub.rug.nl/login.aspx?direct=true&amp;db=psyh&amp;AN=2015-46519-001&amp;site=ehost-live&amp;scope=site</t>
  </si>
  <si>
    <t>Acculturation and psychological distress among non-western Muslim migrants—A population-based survey.</t>
  </si>
  <si>
    <t>Fassaert, Thijs; de Wit, Matty A. S.; Tuinebreijer, Wilco C.; Knipscheer, Jeroen W.; Verhoeff, Arnoud P.; Beekman, Aartjan T. F.; Dekker, Jack</t>
  </si>
  <si>
    <t>2011-03886-003</t>
  </si>
  <si>
    <t>10.1177/0020764009103647</t>
  </si>
  <si>
    <t>Acculturation; Conservatism; Distress; Human Migration; Psychological Stress; Adulthood (18 yrs &amp; older); Young Adulthood (18-29 yrs); Thirties (30-39 yrs); Middle Age (40-64 yrs); Aged (65 yrs &amp; older); Male; Female</t>
  </si>
  <si>
    <t>Background: Political and social developments point at increasing marginalization of Muslim migrants, but little is known about its consequences for the mental health of this particular group. Aim: To explore the relationship between acculturation and psychological distress among first-generation Muslim migrants from Turkey and Morocco in the Netherlands. Methods: A cross-sectional study. Respondents were interviewed in their preferred language. Acculturation was measured with the Lowlands Acculturation Scale (LAS) and psychological distress with the Kessler Psychological Distress Scale (K10). Data were complete for 321 subjects and analyzed with multivariate linear regression. Results: Less skills for living in Dutch society was associated with distress (p = 0.032). Feelings of loss were related to distress among Moroccans (p = 0.037). There was an interaction between traditionalism and ethnic background ( p = 0.037); traditionalism was related to less distress among Moroccans (p = 0.020), but not among Turkish. Finally, there was an interaction by gender among Turks (p = 0.029); conservative norms and values seemed to be related to distress among men (p = 0.062), not women. Conclusion: Successful contact and participation in Dutch society, and maintenance of heritage culture and identity were moderately associated with less psychological distress. Improving mastery of the dominant language in host societies, and allowing migrants to preserve their traditions, might be effective measures in improving the mental well-being of migrants. (PsycINFO Database Record (c) 2016 APA, all rights reserved)</t>
  </si>
  <si>
    <t>http://search.ebscohost.com.proxy-ub.rug.nl/login.aspx?direct=true&amp;db=psyh&amp;AN=2011-03886-003&amp;site=ehost-live&amp;scope=site</t>
  </si>
  <si>
    <t>Acculturation and psychological well-being among Middle Eastern migrants in Australia: The mediating role of social support and perceived discrimination.</t>
  </si>
  <si>
    <t>Hashemi, Neda; Marzban, Maryam; Sebar, Bernadette; Harris, Neil</t>
  </si>
  <si>
    <t>2019-50233-006</t>
  </si>
  <si>
    <t>10.1016/j.ijintrel.2019.07.002</t>
  </si>
  <si>
    <t>Acculturation; Human Migration; Race and Ethnic Discrimination; Social Support; Well Being; Discrimination; Test Construction; Adulthood (18 yrs &amp; older); Young Adulthood (18-29 yrs); Thirties (30-39 yrs); Male; Female</t>
  </si>
  <si>
    <t>Objectives: The aim of this study is to examine the relative contribution of acculturation, perceived social support, and perceived discrimination on psychological well-being (PWB) among Middle Eastern (ME) migrants in Australia. Method(s): A cross-sectional study was conducted in Queensland, Australia. A total of 382 first-generation young adult (aged 20–39 years) ME migrants completed a self-administered questionnaire. The hypothesised model was tested through a two-step process: measurement, and structural model testing. First, Confirmatory Factor Analysis (CFA) was applied to test the fit of the measurement model and reliability and validity indices were calculated. Structural Equations Modelling (SEM) was then used to test the structural model. The significance of the mediating effect was tested using bootstrapping method. Results: Mainstream acculturation had the greatest accumulated total effect on PWB through both a direct and an indirect effect via perceived discrimination. Ethnic acculturation had the second greatest total effect on PWB, with both a direct effect and indirect effects through perceived social support and perceived discrimination. Perceived discrimination demonstrated both a direct effect and an indirect effect on PWB through perceived social support. Perceived social support had only a direct effect on PWB. Conclusions: Facilitating ME migrants’ active participation in both ethnic and mainstream societies is important. Moreover, developing ethnic communities associations and resources could be an effective option to provide social support to ME migrants and in turn to improve their PWB. To provide ME migrants with better mental health outcomes, there is still a need to minimize the discrimination against them. (PsycINFO Database Record (c) 2019 APA, all rights reserved)</t>
  </si>
  <si>
    <t>http://search.ebscohost.com.proxy-ub.rug.nl/login.aspx?direct=true&amp;db=psyh&amp;AN=2019-50233-006&amp;site=ehost-live&amp;scope=site</t>
  </si>
  <si>
    <t>Acculturation and psychosocial stress show differential relationships to insulin resistance (HOMA) and body fat distribution in two groups of Blacks living in the US Virgin Islands.</t>
  </si>
  <si>
    <t>Tull, Eugene S.; Thurland, Anne; LaPorte, Ronald E.; Chambers, Earle C.</t>
  </si>
  <si>
    <t>Journal of the National Medical Association</t>
  </si>
  <si>
    <t>2003-99575-004</t>
  </si>
  <si>
    <t>National Medical Assn</t>
  </si>
  <si>
    <t>Acculturation; Body Weight; Cross Cultural Differences; Insulin; Stress; At Risk Populations; Blacks; Diabetes; Immigration; Psychosocial Factors; Racial and Ethnic Groups; Body Fat; Adulthood (18 yrs &amp; older); Young Adulthood (18-29 yrs); Thirties (30-39 yrs); Middle Age (40-64 yrs); Aged (65 yrs &amp; older); Male; Female</t>
  </si>
  <si>
    <t>Determine whether acculturation and psychosocial stress exert differential effects on body fat distribution and insulin resistance among native-born African Americans and African-Caribbean immigrants living in the US Virgin Islands (USVI). Data collected from a non-diabetic sample of 183 USVI-born African Americans and 296 African-Caribbean immigrants age &gt;20 on the island of St. Croix, USVI were studied. Information on demographic characteristics, acculturation and psychosocial stress was collected by questionnaire. Anthropometric measurements were taken, and serum glucose and insulin were measured from fasting blood samples. Insulin resistance was estimated by the homeostasis model assessment (HOMA) method. The results showed that in multivariate regression analyses, controlling for age, education, gender, BMI, waist circumference, family history of diabetes, smoking and alcohol consumption, acculturation was independently related to logarithm of HOMA (InHOMA) scores among USVI-born African Americans, but not among African-Caribbean immigrants. In contrast, among USVI-born African Americans psychosocial stress was not significantly relazted to InHOMA, while among African-Caribbean immigrants psychosocial stress was independently related to InHOMA in models that included BMI. (PsycINFO Database Record (c) 2016 APA, all rights reserved)</t>
  </si>
  <si>
    <t>http://search.ebscohost.com.proxy-ub.rug.nl/login.aspx?direct=true&amp;db=psyh&amp;AN=2003-99575-004&amp;site=ehost-live&amp;scope=site</t>
  </si>
  <si>
    <t>Acculturation and relational family values in Korean immigrants.</t>
  </si>
  <si>
    <t>Sung, Soo Hyun</t>
  </si>
  <si>
    <t>12-B</t>
  </si>
  <si>
    <t>2012-99120-204</t>
  </si>
  <si>
    <t>Acculturation; Immigration; Psychometrics; South Asian Cultural Groups; Values; Family; Traditions</t>
  </si>
  <si>
    <t>The goals of the present research were to develop and assess the psychometric properties of a theoretically-derived acculturation measure specific to Korean-American immigrants, to replicate the results of an earlier study (Sung &amp; Wozniak, 1999) suggesting that Korean immigrants may be characterized by two different patterns of relational family values, one traditional and one acculturated, and to relate results of the acculturation measure to family values patterns. A total of 120 participants representing three different generational groups (1st, 1.5, 2nd) varying in age, socioeconomic status, and educational level were recruited from the local Korean immigrant population. Participants were seen individually in their homes and instructions and measures were given in the language of the subject's choice (Korean or English). Measures included the Korean Acculturation Scale (KAS), composed of 32-item Acculturation and 8-item Biculturality subscales, a 52-item Relational Family Values Q-Sort (RFVQ), and a 14-item demographic questionnaire. Results indicated that the Korean Acculturation Scale (KAS) had excellent internal consistency and test-retest reliability over a two-week interval. KAS Acculturation and Biculturality Subscale scores were generally found to relate in the expected direction to demographic variables. The RFVQ Q-factor analysis replicated the two-factor solution found by Sung and Wozniak (1999); and on the basis of patterns of factor loadings, three participant groups were identified. (a) Group 1 included those loading positively and significantly only on the Acculturated Korean Family Values factor; (b) Group 2 consisted of those loading positively and significantly on the Traditional Korean Family Values factor and variously on the Acculturated Korean Family Values factor; and (c) Group 3 was composed of those loading positively and significantly on the Acculturated Korean Family Values factor and negatively and significantly on the Traditional Korean Family Values factor. KAS Acculturation Subscale scores were highest for Group 3, followed in order by Groups 1 and 2. Although no statistically significant differences were found for Biculturality Subscale scores, there was a trend for Group 3 to be lowest in Biculturality. Groups differed in the expected direction with regard to demographic variables. (PsycINFO Database Record (c) 2016 APA, all rights reserved)</t>
  </si>
  <si>
    <t>http://search.ebscohost.com.proxy-ub.rug.nl/login.aspx?direct=true&amp;db=psyh&amp;AN=2012-99120-204&amp;site=ehost-live&amp;scope=site</t>
  </si>
  <si>
    <t>Acculturation and religious coping as moderators of the association between discrimination and depressive symptoms among Mexican-American vocational students.</t>
  </si>
  <si>
    <t>Fernandez, Alejandra; Loukas, Alexandra</t>
  </si>
  <si>
    <t>2014-46296-032</t>
  </si>
  <si>
    <t>10.1007/s10903-013-9952-z</t>
  </si>
  <si>
    <t>Acculturation; Coping Behavior; Major Depression; Mexican Americans; Race and Ethnic Discrimination; Psychiatric Symptoms; Religiosity; Vocational School Students; Adulthood (18 yrs &amp; older); Male; Female</t>
  </si>
  <si>
    <t>Although perceived discrimination has been associated with depressive symptoms among Hispanic adults, not all individuals who report discrimination will report elevated levels of depression. This study examined whether acculturation and religious coping would moderate the association between past-year perceived discrimination and depressive symptoms in a sample of 247 Mexican-American post-secondary vocational students (59.6 % males; mean age = 26.81). Results from hierarchical regression analyses indicated that perceived discrimination, positive religious coping, and negative religious coping were significantly associated with depressive symptoms. Further analyses indicated that positive religious coping moderated the perceived discrimination–depressive symptoms association. Students reporting using positive religious coping were protected from experiencing heightened levels of depressive symptoms when faced with discrimination. Acculturation was not directly associated with depressive symptoms nor did it function as a moderator. The salutary influences of positive religious coping for Mexican-American students are discussed. Study limitations and future directions for research are also discussed. (PsycINFO Database Record (c) 2016 APA, all rights reserved)</t>
  </si>
  <si>
    <t>http://search.ebscohost.com.proxy-ub.rug.nl/login.aspx?direct=true&amp;db=psyh&amp;AN=2014-46296-032&amp;site=ehost-live&amp;scope=site</t>
  </si>
  <si>
    <t>Acculturation and school adaptation of Somali Bantu refugee children.</t>
  </si>
  <si>
    <t>Sekhon, Manbeena</t>
  </si>
  <si>
    <t>10-A</t>
  </si>
  <si>
    <t>2009-99070-498</t>
  </si>
  <si>
    <t>Acculturation; Elementary School Teachers; Elementary Schools; Refugees; Adaptation; Career Development; Childhood (birth-12 yrs); School Age (6-12 yrs)</t>
  </si>
  <si>
    <t>The number of refugees being uprooted from their homes to seek refuge and resettlement in countries like the United States continues to grow, with large numbers being children. While each refugee group has its own set of challenges when adjusting to a new country, a better understanding of their needs may help facilitate their transition more quickly with lesser challenges. This study investigated the adjustment of one such group—Somali Bantus in a Midwestern U.S. city. Specifically, acculturation and school adaptation of Somali Bantu refugee children was explored using the Differentiated Multidimensional Model of Acculturation. Somali Bantu refugee children in 5 elementary schools were asked to complete a questionnaire that assessed their level of acculturation to American culture and level of retention of Somali Bantu culture, at three levels i.e. language, identity, and behavior. The 5 ESL teachers were asked to complete a questionnaire that assessed total difficulties in behaviors for each of their Somali Bantu student. Correlations, MANOVAs, and hierarchical regression analyses were used to analyze the data. The findings of this study documented the significant role of school context in the acculturation and school adaptation of these Somali Bantu refugee children. The findings demonstrated that age was statistically, significantly, and negatively related to overall American Acculturation (AAI) and statistically, significantly, and positively related to Proficiency Level Composite scores. These students' AAI scores were statistically, significantly, and positively related to their Somali Acculturation Index (SAI) scores. Furthermore, SAI scores were statistically, significantly, and positively related to grades on Social Behavior and grades on Social Behavior and Work Study Habits were statistically, significantly, and positively related. Also, age and length of time in the country were statistically, significantly, and positively related. The hierarchical regression analyses for AAI and ABA suggested that the demographic variables age, length of time in the US and gender did not contribute to any significant variance and school contributed a moderate variance to the overall AAI and ABA scores. School contributed substantially more incremental variance to ALA and AIA than did the other variables (age, length of time in the US and gender). Overall, the theoretical model including age, length of time in the US, gender and school explained 18, 25, 17 and 13 percent of the variance in the AAI, ALA, AIA and ABA respectively. The hierarchical regression analyses for SAI, SLA, SIA and SBA suggested that the demographic variables age, length of time in the US and gender contributed marginally significant variance. School contributed substantially more incremental variance to SAI, SLA and SBA and a small incremental variance to SIA than did the other demographic variables. Overall, the theoretical model including age, length of time in the US, gender and school explained 36, 20, 15, and 41 percent of the variance in the SAI, SLA, SIA, and SBA respectively. The hierarchical regression analyses for the school outcomes suggested that the demographic variables age, length of time in the US and gender contributed marginally significant variance in Total Difficulties and Proficiency Level Composite scores but none for Grades on Social behavior and Work Study Habits. School contributed slightly more incremental variance to Total Difficulties and Proficiency Level Composite scores a. Acculturation did not contribute to any significant variance in any of the school outcomes. Overall, the theoretical model including age, length of time in the US, gender, school, and American acculturation explained 26, 18, 16, and 38 percent of the variance and age, length of time in the US, gender, school, and Somali acculturation explained 26, 22, 16, and 41 percent of the variance in the Total Diffi… (PsycINFO Database Record (c) 2016 APA, all rights reserved)</t>
  </si>
  <si>
    <t>http://search.ebscohost.com.proxy-ub.rug.nl/login.aspx?direct=true&amp;db=psyh&amp;AN=2009-99070-498&amp;site=ehost-live&amp;scope=site</t>
  </si>
  <si>
    <t>Acculturation and severity of depression among first-generation Vietnamese outpatients in Germany.</t>
  </si>
  <si>
    <t>Nguyen, Main Huong; Hahn, Eric; Wingenfeld, Katja; Graef-Calliess, Iris T.; von Poser, Anita; Stopsack, Malte; Burian, Hannah; Dreher, Annegret; Wolf, Simon; Dettling, Michael; Burian, Ronald; Diefenbacher, Albert; Ta, Thi Minh Tam</t>
  </si>
  <si>
    <t>2017-52246-006</t>
  </si>
  <si>
    <t>10.1177/0020764017735140</t>
  </si>
  <si>
    <t>Acculturation; Major Depression; Severity (Disorders); Symptoms; Adolescence (13-17 yrs); Adulthood (18 yrs &amp; older); Young Adulthood (18-29 yrs); Thirties (30-39 yrs); Middle Age (40-64 yrs); Male; Female</t>
  </si>
  <si>
    <t>Background: Challenges of migration, particularly concerning the process of acculturation are associated with an increased risk of mental illness. Vietnamese migrants constitute the largest Southeast Asian migrant group in Germany, yet there is no data on the relationship between the mental health status and acculturation among this population. Aims: Therefore, the present study examines the relationship between two well-established dimensions of acculturation, that is, dominant society immersion (DSI) and ethnic society immersion (ESI), the four resulting acculturation strategies (integration, assimilation, separation and marginalization), and severity of depression. Methods: A sample of N = 113 first-generation Vietnamese outpatients from a psychiatric outpatient clinic for Vietnamese migrants in Germany was studied regarding their self-reported depressive symptoms (Beck Depression Inventory-II (BDI-II)) and acculturation (Stephenson Multigroup Acculturation Scale (SMAS)). Results: Consistent with the hypotheses, patients reported less severe depressive symptoms, when they reported higher orientation toward the German and the Vietnamese society. Moreover, the results showed that integrated patients reported a lower severity of depression compared to marginalized patients, who reported the highest severity of depression. Conclusions: The findings indicate that among a sample of first-generation Vietnamese patients with depression, an orientation to both, the mainstream society and one’s heritage society might serve as a potential resource. The rejection of any orientation to any society is associated with an increased risk for depression. (PsycINFO Database Record (c) 2017 APA, all rights reserved)</t>
  </si>
  <si>
    <t>http://search.ebscohost.com.proxy-ub.rug.nl/login.aspx?direct=true&amp;db=psyh&amp;AN=2017-52246-006&amp;site=ehost-live&amp;scope=site</t>
  </si>
  <si>
    <t>Acculturation and social support in relation to psychosocial adjustment of adolescent refugees resettled in Australia.</t>
  </si>
  <si>
    <t>Kovacev, Lydia; Shute, Rosalyn</t>
  </si>
  <si>
    <t>2004-13558-007</t>
  </si>
  <si>
    <t>10.1080/01650250344000497</t>
  </si>
  <si>
    <t>Acculturation; Emotional Adjustment; Refugees; Social Adjustment; Social Support; Peers; Self-Esteem; Social Acceptance; Self-Worth; Adolescence (13-17 yrs); Adulthood (18 yrs &amp; older); Young Adulthood (18-29 yrs); Male; Female</t>
  </si>
  <si>
    <t>This study examined how different modes of acculturation and perceived social support are related to adolescent refugee psychosocial adjustment, as measured by global self-worth and peer social acceptance. The 83 participants, aged between 12 and 19 and now resident in Australia, were from the former Republic of Yugoslavia. Those who had the most positive attitudes toward both cultures obtained the highest ratings of self-worth and peer social acceptance. In contrast, those who had negative attitudes toward both cultures had the lowest scores on these measures of psychosocial adjustment. Results were consistent with the proposition that the effects of acculturation on adjustment are mediated by peer social support. (PsycInfo Database Record (c) 2020 APA, all rights reserved)</t>
  </si>
  <si>
    <t>http://search.ebscohost.com.proxy-ub.rug.nl/login.aspx?direct=true&amp;db=psyh&amp;AN=2004-13558-007&amp;site=ehost-live&amp;scope=site</t>
  </si>
  <si>
    <t>Acculturation and subjective well-being: The case of Turkish ethnic youth in Germany.</t>
  </si>
  <si>
    <t>Koydemir, Selda</t>
  </si>
  <si>
    <t>Journal of Youth Studies</t>
  </si>
  <si>
    <t>2013-18030-003</t>
  </si>
  <si>
    <t>10.1080/13676261.2012.725838</t>
  </si>
  <si>
    <t>Acculturation; Ethnic Identity; Well Being; Cognition; Emotions; Life Satisfaction; Adolescence (13-17 yrs); Adulthood (18 yrs &amp; older); Young Adulthood (18-29 yrs); Male; Female</t>
  </si>
  <si>
    <t>Using a sample of youth with a Turkish background living in Germany, the study aimed to identify their cultural identifications and acculturation attitudes, and test the effects of cultural identifications together with background variables on cognitive and affective aspects of subjective well-being. Measures of identification with the Turkish and German cultures, Turkish identity, German identity, dual identity, life satisfaction, and positive and negative affect were used. The most favored acculturation strategy was integration followed by separation. Whereas heritage-culture identification and mainstream-culture identification were found to be independent of each other, both contributed to the well-being of immigrants, with the former predicting affective and the latter predicting cognitive well-being. Turkish identity, German identity, as well as dual identity as both Turkish and German contributed to the well-being of the youth. Besides, dual identification had a unique contribution to well-being outcomes above and beyond other acculturation variables. (PsycINFO Database Record (c) 2016 APA, all rights reserved)</t>
  </si>
  <si>
    <t>http://search.ebscohost.com.proxy-ub.rug.nl/login.aspx?direct=true&amp;db=psyh&amp;AN=2013-18030-003&amp;site=ehost-live&amp;scope=site</t>
  </si>
  <si>
    <t>Acculturation and suicidal ideation among Turkish migrants in the Netherlands.</t>
  </si>
  <si>
    <t>Eylem, Ozlem; Dalḡar, İlker; İnce, Burçin Ünlü; Tok, Firdevs; van Straten, Annemieke; de Wit, Leonore; Kerkhof, Ad. J. F. M.; Bhui, Kamaldeep</t>
  </si>
  <si>
    <t>Psychiatry Research</t>
  </si>
  <si>
    <t>2019-26175-011</t>
  </si>
  <si>
    <t>10.1016/j.psychres.2019.02.078</t>
  </si>
  <si>
    <t>Acculturation; Attachment Behavior; Hopelessness; Suicidal Ideation; Attempted Suicide; Distress; Suicide; Adulthood (18 yrs &amp; older); Young Adulthood (18-29 yrs); Thirties (30-39 yrs); Middle Age (40-64 yrs); Aged (65 yrs &amp; older); Male; Female</t>
  </si>
  <si>
    <t>More suicidal ideation and higher rates of attempted suicide are found in Turkish people when compared with the general population in Europe. Acculturation processes and related distress may explain an elevated risk of suicide. The current study investigates the association between acculturation and suicidal ideation among Turkish migrants in the Netherlands. The mediating effect of hopelessness and moderating effect of secure attachment are also examined. A total of 185 Turkish migrants living in the Netherlands were recruited through social media and through liaison with community groups. They completed an online survey including validated measures of suicidal ideation, hopelessness, acculturation and attachment style. Mediation and moderation analyses were tested using bootstrapping. Higher participation was associated with less hopelessness and less suicidal ideation. Greater maintenance of one's ethnic culture was associated with higher hopelessness and higher suicidal ideation. Greater participation was associated with less suicidal ideation particularly amongst those with less secure attachment styles. Turkish migrants who participate in the host culture may have a lower risk of developing suicidal thinking. Participation may protect against suicidal thinking, particularly among those with less secure attachment styles. (PsycInfo Database Record (c) 2020 APA, all rights reserved)</t>
  </si>
  <si>
    <t>http://search.ebscohost.com.proxy-ub.rug.nl/login.aspx?direct=true&amp;db=psyh&amp;AN=2019-26175-011&amp;site=ehost-live&amp;scope=site</t>
  </si>
  <si>
    <t>Acculturation and Suicide Attitudes: A Study of Perceptions About Suicide Among a Sample of Ghanaian Immigrants in the United States.</t>
  </si>
  <si>
    <t>Eshun, Sussie</t>
  </si>
  <si>
    <t>Psychological Reports</t>
  </si>
  <si>
    <t>2006-23111-039</t>
  </si>
  <si>
    <t>10.2466/PR0.99.5.295-304</t>
  </si>
  <si>
    <t>Acculturation; Immigration; Suicide; Well Being; Adulthood (18 yrs &amp; older); Male; Female</t>
  </si>
  <si>
    <t>To investigate whether a relationship exists between acculturation and attitudes about suicide, 81 Ghanaian immigrants living in the U.S. who responded to a mail inquiry were selected to participate in the current study. This particular immigrant sample was chosen because although they represent a rapidly growing group in the U.S., they have been rarely studied. Respondents consisted of 42 women and 36 men (3 did not identify their sex), with a mean age of 29.5 yr. (SD = 10.6). Participants completed measures of acculturation and attitudes about suicide. Results indicated significant correlations between length of residency in the United States and negative suicide attitudes, and also between psychological acculturation and negative suicide attitudes. No significant relationship was found between behavioral acculturation and suicide attitudes. Furthermore, length of residency was a stronger predictor of suicide attitudes than other subjective measures of acculturation. Implications and suggestions for further research are discussed. (PsycINFO Database Record (c) 2016 APA, all rights reserved)</t>
  </si>
  <si>
    <t>http://search.ebscohost.com.proxy-ub.rug.nl/login.aspx?direct=true&amp;db=psyh&amp;AN=2006-23111-039&amp;site=ehost-live&amp;scope=site</t>
  </si>
  <si>
    <t>Acculturation and syndemic risk: Longitudinal evaluation of risk factors among pregnant Latina adolescents in New York City.</t>
  </si>
  <si>
    <t>Martinez, Isabel; Kershaw, Trace S.; Keene, Danya; Perez-Escamilla, Rafael; Lewis, Jessica B.; Tobin, Jonathan N.; Ickovics, Jeannette R.</t>
  </si>
  <si>
    <t>Annals of Behavioral Medicine</t>
  </si>
  <si>
    <t>2018-40351-005</t>
  </si>
  <si>
    <t>10.1007/s12160-017-9924-y</t>
  </si>
  <si>
    <t>Oxford University Press</t>
  </si>
  <si>
    <t>Acculturation; Adolescent Pregnancy; Epidemics; Risk Factors; Drug Abuse; Intimate Partner Violence; Major Depression; Health Disparities; Adolescence (13-17 yrs); Adulthood (18 yrs &amp; older); Young Adulthood (18-29 yrs); Male; Female</t>
  </si>
  <si>
    <t>Background: Syndemics are co-occurring epidemics that synergistically contribute to specific risks or health outcomes. Although there is substantial evidence demonstrating their existence, little is known about their change over time in adolescents. Purpose: The objectives of this paper were to identify longitudinal changes in a syndemic of substance use, intimate partner violence, and depression and determine whether immigration/cultural factors moderate this syndemic over time. Methods: In a cohort of 772 pregnant Latina adolescents (ages 14–21) in New York City, we examined substance use, intimate partner violence, and depression as a syndemic. We used longitudinal mixed-effect modeling to evaluate whether higher syndemic score predicted higher syndemic severity, from pregnancy through 1 year postpartum. Interaction terms were used to determine whether immigrant generation and separated orientation were significant moderators of change over time. Results: We found a significant increasing linear effect for syndemic severity over time (β = 0.0413, P = 0.005). Syndemic score significantly predicted syndemic severity (β = –0.1390, P ≤ 0.0001), as did immigrant generation (βImmigrant = –0.1348, P ≤ 0.0001; β1stGen = –0.1932, P = 0.0005). Both immigrant generation (βImmigrant = –0.1125, P = 0.0035; β1stGen = –0.0135, P = 0.7279) and separated orientation (β = 0.0946, P = 0.0299) were significantly associated with change in severity from pregnancy to 1 year postpartum. Conclusion: Pregnancy provides an opportunity for reducing syndemic risk among Latina adolescents. Future research should explore syndemic changes over time, particularly among high-risk adolescents. Prevention should target syndemic risk reduction in the postpartum period to ensure that risk factors do not increase after pregnancy. (PsycINFO Database Record (c) 2018 APA, all rights reserved)</t>
  </si>
  <si>
    <t>http://search.ebscohost.com.proxy-ub.rug.nl/login.aspx?direct=true&amp;db=psyh&amp;AN=2018-40351-005&amp;site=ehost-live&amp;scope=site</t>
  </si>
  <si>
    <t>Acculturation and the cancer pain experience.</t>
  </si>
  <si>
    <t>Im, Eun-Ok; Ho, Tsung-Han; Brown, Adama; Chee, Wonshik</t>
  </si>
  <si>
    <t>2009-17120-002</t>
  </si>
  <si>
    <t>10.1177/1043659609334932</t>
  </si>
  <si>
    <t>Acculturation; Neoplasms; Pain Perception; Asians; Latinos/Latinas; Adulthood (18 yrs &amp; older); Male; Female</t>
  </si>
  <si>
    <t>Purpose: Using a feminist perspective, the relationship between acculturation and cancer pain experience was explored. Design: This was a cross-sectional, correlational Internet study among 104 Hispanic and 114 Asian cancer patients. The instruments included both unidimensional and multidimensional cancer pain measures. Findings: There were significant differences in cancer pain scores by country of birth. Yet there was no significant association of acculturation to cancer pain scores. Discussion and Conclusions: This study indicated inconsistent findings. Implications for Practice: To provide directions for adequate cancer pain management, further studies with a larger number of diverse groups of immigrant cancer patients are needed. (PsycINFO Database Record (c) 2016 APA, all rights reserved)</t>
  </si>
  <si>
    <t>http://search.ebscohost.com.proxy-ub.rug.nl/login.aspx?direct=true&amp;db=psyh&amp;AN=2009-17120-002&amp;site=ehost-live&amp;scope=site</t>
  </si>
  <si>
    <t>Acculturation and the subjective well-being of Somali immigrants in the United States: An explanatory mixed methods investigation.</t>
  </si>
  <si>
    <t>Ali, Abdulaziz M.</t>
  </si>
  <si>
    <t>11-A</t>
  </si>
  <si>
    <t>2009-99090-457</t>
  </si>
  <si>
    <t>Acculturation; Immigration; Well Being</t>
  </si>
  <si>
    <t>Somali immigrants escaped from unrelenting civil war only to face complex social and cultural adjustment challenges in the United States (U.S.). However, the impact of the acculturation on the well-being of Somalis has not been documented. The current explanatory mixed methods study examined the relationship between the acculturation strategies and the Subjective Well-being (SW) of the Somali immigrants living in the U.S. The Satisfaction with Life Scale (SWLS) (Diener, Emmons, Larsen &amp; Griffin, 1985) was used to measure life satisfaction, and Stephenson's (2000) Multigroup Acculturation Scale (SMAS) captured the main acculturation strategies of the Somali immigrants. The study also employed focus groups to seek (a) community explanation of the quantitative results, and (b) community views of acculturation challenges and opportunities. A sample of 124 first-generation Somali immigrants living in two large U.S. Midwest cities participated in the study. Results indicated significant relationship between the acculturation strategies used by the Somali immigrants and their SW. Integration was related to the highest SW, while marginalization was related to the lowest SW. However, the study found no significant differences in the SW of the Somali genders. Additionally, the focus groups revealed that youth problems were the greatest threats to the community well-being. Finally, while results highlighted some important acculturation issues affecting the well-being of the Somali immigrants, further investigations are encouraged to understand better the acculturation process of the Somali immigrants. (PsycINFO Database Record (c) 2016 APA, all rights reserved)</t>
  </si>
  <si>
    <t>http://search.ebscohost.com.proxy-ub.rug.nl/login.aspx?direct=true&amp;db=psyh&amp;AN=2009-99090-457&amp;site=ehost-live&amp;scope=site</t>
  </si>
  <si>
    <t>Acculturation and well-being among migrant and minority adolescents: A cross-national and cross-ethnic comparison.</t>
  </si>
  <si>
    <t>Möllering, Anna; Schiefer, David; Knafo, Ariel; Boehnke, Klaus</t>
  </si>
  <si>
    <t>The challenges of diaspora migration: Interdisciplinary perspectives on Israel and Germany.</t>
  </si>
  <si>
    <t>2014-27297-005</t>
  </si>
  <si>
    <t>Ashgate Publishing Co</t>
  </si>
  <si>
    <t>Acculturation; Adolescent Development; Well Being; Human Migration; Childhood (birth-12 yrs); School Age (6-12 yrs); Adolescence (13-17 yrs); Adulthood (18 yrs &amp; older); Young Adulthood (18-29 yrs); Male; Female</t>
  </si>
  <si>
    <t>Even though the history of migration is as old as humankind itself, the number of international migrants has never been higher than today. The current high number of migrants in addition to the proverbial 'shrinking' of the world as a consequence of faster communication and travel channels have led to more intercultural and interethnic contact than ever before in history. This is a challenge for both veterans and migrants. The present chapter explores how this challenge affects the well-being of different migrant adolescent groups in two major immigration countries—Israel and Germany—in relation to the host societies' general attitude towards them and vice versa. To pursue this research question a basic theoretical framework is laid out regarding intercultural and interethnic contact. (PsycINFO Database Record (c) 2019 APA, all rights reserved)</t>
  </si>
  <si>
    <t>http://search.ebscohost.com.proxy-ub.rug.nl/login.aspx?direct=true&amp;db=psyh&amp;AN=2014-27297-005&amp;site=ehost-live&amp;scope=site</t>
  </si>
  <si>
    <t>Acculturation attitudes: A comparison of measurement methods.</t>
  </si>
  <si>
    <t>Arends-Tóth, Judit; Van de Vijver, Fons J. R.</t>
  </si>
  <si>
    <t>Journal of Applied Social Psychology</t>
  </si>
  <si>
    <t>2007-10033-004</t>
  </si>
  <si>
    <t>10.1111/j.1559-1816.2007.00222.x</t>
  </si>
  <si>
    <t>Acculturation; Attitude Measures; Cross Cultural Differences; Immigration; Adulthood (18 yrs &amp; older); Male; Female</t>
  </si>
  <si>
    <t>Three measurement methods (1, 2, or 4 statements) to assess acculturation attitudes were compared in 2 studies involving Turkish immigrants in The Netherlands. Each measurement method revealed support for differentiation between acculturation in the public and the private domains. The Turkish culture was more valued than the Dutch culture in the private domain, while both cultures were about equally favored in the public domain. A direct comparison of the 3 measurement methods found evidence for a general method factor on which all 3 measurement methods loaded, and an acculturation attitude factor with positive loadings for 2 indicators (private and public domains). The 2-statement measurement method addressing public and private life domains was found to provide a short, though comprehensive instrument. (PsycInfo Database Record (c) 2020 APA, all rights reserved)</t>
  </si>
  <si>
    <t>http://search.ebscohost.com.proxy-ub.rug.nl/login.aspx?direct=true&amp;db=psyh&amp;AN=2007-10033-004&amp;site=ehost-live&amp;scope=site</t>
  </si>
  <si>
    <t>Acculturation experiences and personality characteristics of Greek Americans.</t>
  </si>
  <si>
    <t>Papaneophytou, Neophytos L.</t>
  </si>
  <si>
    <t>1-B(E)</t>
  </si>
  <si>
    <t>2014-99140-106</t>
  </si>
  <si>
    <t>Acculturation; Marginalization; Mental Health</t>
  </si>
  <si>
    <t>This study investigated how the dimensions of heritage culture and mainstream culture identification, and four dimensions of acculturation, namely integration, assimilation, separation, and marginalization, are associated with the mental health and personality characteristics of first-generation Greek-Americans (including Greek-speaking Cypriots). In order to measure personality and psychopathology the MMPI-2-RF RC scales were utilized. This study was significant in its conceptualization of acculturation. The use of the RC scales has rarely been found, and it is the first time it is being employed with regard to a Greek-American community sample of first generation immigrants. Results indicated that lower mainstream-culture identification was associated with higher scores on Demoralization (RCd), Somatic Complaints (RC1), Cynicism (RC3), Ideas of Persecution (RC6), and Aberrant Behaviors (RC8); and lower heritage-culture identification was associated with higher scores on Somatic Complaints (RC1) to the direction of psychopathology. Individuals testing in the Separated category, that is, who continued to identify more with their heritage culture and less with their new (mainstream) culture experienced more somatic problems. The performance of the sample was in line with prior research, and the findings of this study are consistent with previous studies that found different levels of acculturation to have differential impact on the MMPI-2-RF performance, and studies that found higher identification with both mainstream culture and heritage culture were associated with more favorable mental health outcomes. Findings supported the premise that both mainstream and heritage cultures offer benefits for people living in and/or experiencing multiple cultures. In addition, the findings of this study indicated support for the bidimentional model of acculturation as most participants had a high identification with both mainstream and heritage cultures. (PsycINFO Database Record (c) 2016 APA, all rights reserved)</t>
  </si>
  <si>
    <t>http://search.ebscohost.com.proxy-ub.rug.nl/login.aspx?direct=true&amp;db=psyh&amp;AN=2014-99140-106&amp;site=ehost-live&amp;scope=site</t>
  </si>
  <si>
    <t>Acculturation factors and substance use among Asian American youth.</t>
  </si>
  <si>
    <t>Le, Thao N.; Goebert, Deborah; Wallen, Judy</t>
  </si>
  <si>
    <t>The Journal of Primary Prevention</t>
  </si>
  <si>
    <t>2009-09558-011</t>
  </si>
  <si>
    <t>10.1007/s10935-009-0184-x</t>
  </si>
  <si>
    <t>Acculturation; Asians; Drug Abuse; Individualism; Collectivism; Minority Groups; Risk Factors; Childhood (birth-12 yrs); School Age (6-12 yrs); Adolescence (13-17 yrs); Adulthood (18 yrs &amp; older); Young Adulthood (18-29 yrs); Male; Female</t>
  </si>
  <si>
    <t>In this study of 329 Cambodian, Chinese, Laotian/Mien, and Vietnamese youth in Oakland, California, acculturation factors of individualism-collectivism and acculturative dissonance were examined as risk and protective factors for substance use. Results of structural equation modeling and bootstrapping revealed that peer substance use was a robust mediator between individualism and youth’s self-reported substance use, particularly among Vietnamese and males. Peer substance use also significantly mediated the relation between collectivism and substance use for females. As such, there appears to be ethnic and gender group variations in the saliency of cultural/acculturation factors with respect to substance use. Implications for substance use prevention programs for ethnic and immigrant youth are discussed. (PsycINFO Database Record (c) 2016 APA, all rights reserved)</t>
  </si>
  <si>
    <t>http://search.ebscohost.com.proxy-ub.rug.nl/login.aspx?direct=true&amp;db=psyh&amp;AN=2009-09558-011&amp;site=ehost-live&amp;scope=site</t>
  </si>
  <si>
    <t>Acculturation in the adaptation of Chinese-American women to breast cancer: A mixed‐method approach.</t>
  </si>
  <si>
    <t>Tsai, Tzu‐I; Morisky, Donald E.; Kagawa‐Singer, Marjorie; Ashing‐Giwa, Kimlin T.</t>
  </si>
  <si>
    <t>Journal of Clinical Nursing</t>
  </si>
  <si>
    <t>23-24</t>
  </si>
  <si>
    <t>2011-27488-014</t>
  </si>
  <si>
    <t>10.1111/j.1365-2702.2011.03872.x</t>
  </si>
  <si>
    <t>Wiley-Blackwell Publishing Ltd.</t>
  </si>
  <si>
    <t>Acculturation; Adaptation; Breast Neoplasms; Experiences (Events); Immigration; Adulthood (18 yrs &amp; older); Female</t>
  </si>
  <si>
    <t>Aims: To explore how and to what extent acculturation and immigration affect Chinese-American immigrant women’s breast cancer experience. Background: Acculturation is an important indicator for immigrant health. Less empirical research has been conducted on the association between acculturation and breast cancer experience among Chinese immigrant women in the USA. Design: A mixed methods study. Methods: A total of 107 Chinese-American women with breast cancer completed the structured questionnaire survey, and 16 women completed face-to-face in-depth interviews. Results: In the quantitative findings, acculturation was related to health beliefs, social support and life stress. Cultural interpretations of the qualitative information are offered to show that breast cancer experience was intertwined with cultural adaptation in a given immigrant environment. Chinese cultural beliefs persistently, even after years of immigration, guide Chinese-American immigrant women to respond to breast cancer across the meaning of health and illness, family ties and involvement and social interaction. Conclusion: Our findings show that acculturation is related to health beliefs, social support and life stress in the trajectory of breast cancer adaptation among Chinese-American immigrant women. Life stresses derived from immigration bring additional difficulties for immigrant women living with cancer. Relevance to clinical practice: This study pinpoints that traditional cultural beliefs and immigration stress may influence Chinese-American women to cope with breast cancer. To promote culturally sensitive cancer care for immigrants, healthcare professionals should be aware of and learn intercultural competence. Ethnic social support or outreach healthcare programme may benefit new immigrant families or the immigrant families, who lack social connection, to cope with cancer. (PsycINFO Database Record (c) 2018 APA, all rights reserved)</t>
  </si>
  <si>
    <t>http://search.ebscohost.com.proxy-ub.rug.nl/login.aspx?direct=true&amp;db=psyh&amp;AN=2011-27488-014&amp;site=ehost-live&amp;scope=site</t>
  </si>
  <si>
    <t>Acculturation is associated with the prevalence of tardive dyskinesia and akathisia in community-treated patients with schizophrenia.</t>
  </si>
  <si>
    <t>Sundram, S.; Lambert, T.; Piskulic, D.</t>
  </si>
  <si>
    <t>Acta Psychiatrica Scandinavica</t>
  </si>
  <si>
    <t>2008-06288-010</t>
  </si>
  <si>
    <t>10.1111/j.1600-0447.2008.01183.x</t>
  </si>
  <si>
    <t>Acculturation; Communities; Epidemiology; Risk Factors; Tardive Dyskinesia; Genetics; Schizophrenia; Adulthood (18 yrs &amp; older); Male; Female</t>
  </si>
  <si>
    <t>Objective: Ethnicity is a risk factor for tardive dyskinesia (TD) and other antipsychotic drug-induced movement disorders (ADIMD). It is unclear whether this association is mediated through genetic, environmental or cultural factors individually or in combination. This pilot study aimed to explore this interaction by determining if acculturation in migrant groups contributed to the prevalence of ADIMD. Method: Culturally diverse but relatively genetically homogeneous (white Caucasian) patients with schizophrenia (n = 40) treated at a single site were assessed for the presence of ADIMD and level of acculturation. Results: Higher levels of acculturation correlated with an increased prevalence of TD and akathisia but not Parkinsonism. The level of acculturation significantly predicted TD. Conclusion: This study identifies for the first time that acculturation significantly contributes to the prevalence of TD and akathisia but not Parkinsonism in culturally diverse migrant populations and must be accounted for when explaining ethnic variation in rates of ADIMD. (PsycINFO Database Record (c) 2017 APA, all rights reserved)</t>
  </si>
  <si>
    <t>http://search.ebscohost.com.proxy-ub.rug.nl/login.aspx?direct=true&amp;db=psyh&amp;AN=2008-06288-010&amp;site=ehost-live&amp;scope=site</t>
  </si>
  <si>
    <t>Acculturation of asian indian women in the united states.</t>
  </si>
  <si>
    <t>Kankipati, Varudhini</t>
  </si>
  <si>
    <t>5-A(E)</t>
  </si>
  <si>
    <t>2014-99210-486</t>
  </si>
  <si>
    <t>Acculturation; Marginalization; Cross Cultural Differences; Human Females; Quantitative Methods; South Asian Cultural Groups</t>
  </si>
  <si>
    <t>The United States is home to nearly three million Asian Indians. The difference in Asian Indian and American cultures creates a need for Asian Indians to acculturate, upon migration to the U.S. It has been theorized that acculturation becomes harder when the two cultures of contact are dissimilar. Particularly, immigrant women and children have been found to be more vulnerable than men to acculturative stress, where acculturative stress is defined as the psychological impact of adaptation to a new culture. Hence, this study focuses on acculturation of Asian Indian women and specifically on factors influencing their acculturation. Research findings from this study on acculturation of Asian Indian women provide information, useful for public policy makers. They have been utilized to develop a program (used by settlement service providers) designed specifically to facilitate acculturation of Asian Indian women in the U.S. A two-dimensional model developed by J.W. Berry, a prominent researcher in the field of acculturation, is employed to classify the acculturation process of Asian Indian women who were part of this study. Based on Berry’s model, the acculturation process of an immigrant can be described by one of the following four strategies: 1) Assimilation, 2) Integration, 3) Separation, or 4) Marginalization. According to Berry, the Integration strategy is considered the most effective acculturation strategy in terms of long-term health and wellbeing of the individual. This study employed a cross-sectional design, using quantitative methods for data analysis. Data were collected by means of a web-based acculturation survey that was developed as part of the study. Data analysis indicated that a majority of the Asian Indian women adopted the Integration strategy. A conceptual model was developed and multivariate analyses were conducted to examine the key acculturation factors that influenced Asian Indian women using the Integration strategy. These identified key factors helped to understand the cultural adaptation of Asian Indian women. KEYWORDS: Asian Indian Women, Acculturation, Acculturation Factors, Integration Strategy, Integration Programs. (PsycINFO Database Record (c) 2016 APA, all rights reserved)</t>
  </si>
  <si>
    <t>http://search.ebscohost.com.proxy-ub.rug.nl/login.aspx?direct=true&amp;db=psyh&amp;AN=2014-99210-486&amp;site=ehost-live&amp;scope=site</t>
  </si>
  <si>
    <t>Acculturation of host individuals: Immigrants and personal networks.</t>
  </si>
  <si>
    <t>Domínguez, Silvia; Maya-Jariego, Isidro</t>
  </si>
  <si>
    <t>2008-16219-009</t>
  </si>
  <si>
    <t>10.1007/s10464-008-9209-5</t>
  </si>
  <si>
    <t>Acculturation; Communities; Immigration; Sociocultural Factors; Individual Differences; Adolescence (13-17 yrs); Adulthood (18 yrs &amp; older); Young Adulthood (18-29 yrs); Thirties (30-39 yrs); Middle Age (40-64 yrs); Male; Female</t>
  </si>
  <si>
    <t>[Correction Notice: An erratum for this article was reported in Vol 44(3-4) of American Journal of Community Psychology (see record [rid]2009-23403-021[/rid]). In the list of references for the original article the first author’s name was misspelled in the following reference. Instead of Cea, M. C. it should read as: Zea, M. C., Reisen, C. A., Poppen, P. J., Echeverry, J. J., &amp; Bianchi, F. T. (2004). Disclosure of HIV-positive status to Latino gay men’s social networks. American Journal of Community Psychology, 33, 107–116.] There has been a vast amount of research on the changes experienced by immigrants, but little is known about the changes experienced by host individuals. This article focuses on the role of host individuals in the networks of relations between immigrant populations and the communities from the dominant culture, as well as the changes experienced by host individuals because of their continuous contact with immigrants. This research applied a network approach to the study of the acculturation of host individuals. Two independent studies were carried out: a systematic analysis of the personal networks of Argentinean (n = 67), Ecuadorian (n = 59), Italian (n = 37) and German (n = 37) residents in Seville and Cadiz (Spain) (Study 1); and an ethnographic study with human service workers for Latin American immigrants in Boston (USA) (Study 2). With two different strategies, the role of host individuals in personal networks of foreigners in the United States and Spain was analyzed. The results show that host individuals tend to have less centrality than compatriots, showing an overall secondary role in the personal networks of immigrants. The lowest average centrality was observed in recent and temporal migrants, whereas the highest corresponded to the individuals with more time of residence in Spain. The personal networks of human service providers in the United States vary in ethnic composition and in their structural properties, and therefore shape different types of integrative bridges for immigrants. (PsycINFO Database Record (c) 2016 APA, all rights reserved)</t>
  </si>
  <si>
    <t>http://search.ebscohost.com.proxy-ub.rug.nl/login.aspx?direct=true&amp;db=psyh&amp;AN=2008-16219-009&amp;site=ehost-live&amp;scope=site</t>
  </si>
  <si>
    <t>Acculturation of immigrant Latinos into the U.S. workplace: Evidence from the working hours-life satisfaction relationship.</t>
  </si>
  <si>
    <t>Valente, Rubia R.; Berry, Brian J. L.</t>
  </si>
  <si>
    <t>Applied Research in Quality of Life</t>
  </si>
  <si>
    <t>2016-29440-001</t>
  </si>
  <si>
    <t>10.1007/s11482-016-9471-x</t>
  </si>
  <si>
    <t>Acculturation; Happiness; Immigration; Work Week Length; Latinos/Latinas; Family Work Relationship; Life Satisfaction; Adulthood (18 yrs &amp; older)</t>
  </si>
  <si>
    <t>This paper explores the working hours-happiness relationship of Latinos living in the United States and compares it with that of the host society. We find that immigrant Latinos have adopted American work-happiness relationships while having lower levels of subjective well-being. Acculturation plays an important role not only with respect to work attitudes, but also to social status, and it is the latter that affects the well-being of Latinos of color. Future quality-of-life research needs to analyze whether the dichotomy between work attitude and social status will persist or whether this vibrant and increasing group of immigrants who are so vital to the U.S. economy will both adapt to host society values and begin to introduce positive change in those values in a society where multiculturalism is on the rise. (PsycINFO Database Record (c) 2017 APA, all rights reserved)</t>
  </si>
  <si>
    <t>http://search.ebscohost.com.proxy-ub.rug.nl/login.aspx?direct=true&amp;db=psyh&amp;AN=2016-29440-001&amp;site=ehost-live&amp;scope=site</t>
  </si>
  <si>
    <t>Acculturation of Indian subcontinental adolescents living in Australia.</t>
  </si>
  <si>
    <t>Dey, Proshanta; Sitharthan, Gomathi</t>
  </si>
  <si>
    <t>Australian Psychologist</t>
  </si>
  <si>
    <t>2016-30398-001</t>
  </si>
  <si>
    <t>10.1111/ap.12190</t>
  </si>
  <si>
    <t>Acculturation; Adolescent Development; Strategies; Adolescence (13-17 yrs); Adulthood (18 yrs &amp; older); Young Adulthood (18-29 yrs); Male; Female</t>
  </si>
  <si>
    <t>Objective: The aim of this study was to explore the preferred acculturation strategies adopted by Indian subcontinental adolescents living in Australia. The study also examined the demographic, ethnocultural, and psychological factors that could influence subcontinental migrant groups’ attitudes towards acculturation and their acculturation strategies. Method: A cross-sectional design was used in which the dependent variables were the four acculturation strategies. Multivariate data analysis was conducted. Pearson’s correlation, analysis of variance, and step-wise multiple regression analyses were performed to establish the relationships among the study variables. Results: Integration was the most preferred strategy and marginalisation was the least preferred strategy for all ethnic groups. Acculturation preferences are predicted partly by the adolescents’ ethnicity, their ethnic identity, friendship choices, acculturative stress, sense of mastery (self-concept) and gender. The findings provide significant information on the acculturation practices of Indian subcontinental adolescents, including their ethnic identity search and commitment, their psychological well-being and their integration strategies. Conclusions: Educational institutions could benefit from increased awareness of the needs of these culturally diverse groups, especially if this information is incorporated into teacher training materials. The inclusion of intercultural relations courses in the academic curriculum would promote harmonious relations between culturally diverse ethnic groups. (PsycInfo Database Record (c) 2021 APA, all rights reserved)</t>
  </si>
  <si>
    <t>http://search.ebscohost.com.proxy-ub.rug.nl/login.aspx?direct=true&amp;db=psyh&amp;AN=2016-30398-001&amp;site=ehost-live&amp;scope=site</t>
  </si>
  <si>
    <t>Acculturation of Iranians in the United States, the United Kingdom, and the Netherlands: A test of the multidimensional individual difference acculturation (MIDA) model.</t>
  </si>
  <si>
    <t>Safdar, Saba; Struthers, Ward; van Oudenhoven, Jan Pieter</t>
  </si>
  <si>
    <t>2009-06562-008</t>
  </si>
  <si>
    <t>10.1177/0022022108330990</t>
  </si>
  <si>
    <t>Acculturation; Cross Cultural Differences; Immigration; Individual Differences; Adulthood (18 yrs &amp; older); Male; Female</t>
  </si>
  <si>
    <t>The present study tested the generalizability of a multidimensional individual difference acculturation (MIDA) model in three cultural contexts. The model includes three predictor variables (Psychosocial Resources, Connectedness, and Hassles), predicting three outcome adaptation variables (In-group Contact, Out-group Contact, and Psychophysical Distress). The roles of two dimensions of acculturation attitudes (toward Own Culture Maintenance and New Culture acquisition) were also included in the model. The model was tested and validated with three samples of Iranian immigrants living in the United States, the Netherlands, and the United Kingdom. The results provided support for the multidimensional model. The relations between each variable in the model are discussed with reference to the demographic variation of the samples and the complexity of societal context. (PsycINFO Database Record (c) 2016 APA, all rights reserved)</t>
  </si>
  <si>
    <t>http://search.ebscohost.com.proxy-ub.rug.nl/login.aspx?direct=true&amp;db=psyh&amp;AN=2009-06562-008&amp;site=ehost-live&amp;scope=site</t>
  </si>
  <si>
    <t>Acculturation of personality: A three-culture study of Japanese, Japanese Americans, and European Americans.</t>
  </si>
  <si>
    <t>Güngör, Derya; Bornstein, Marc H.; De Leersnyder, Jozefien; Cote, Linda; Ceulemans, Eva; Mesquita, Batja</t>
  </si>
  <si>
    <t>2013-20274-003</t>
  </si>
  <si>
    <t>10.1177/0022022112470749</t>
  </si>
  <si>
    <t>Acculturation; Immigration; Personality Change; Personality Traits; Culture (Anthropological); Japanese Americans; Japanese Cultural Groups; Adulthood (18 yrs &amp; older); Female</t>
  </si>
  <si>
    <t>The present study tests the hypothesis that involvement with a new culture instigates changes in personality of immigrants that result in (a) better fit with the norms of the culture of destination and (b) reduced fit with the norms of the culture of origin. Participants were 40 Japanese first-generation immigrants to the United States, 57 Japanese monoculturals, and 60 U.S. monoculturals. All participants completed the Jackson Personality Inventory as a measure of the Big Five; immigrants completed the Japanese American Acculturation Scale. Immigrants’ fits with the cultures of destination and origin were calculated by correlating Japanese American mothers’ patterns of ratings on the Big Five with the average patterns of ratings of European Americans and Japanese on the same personality dimensions. Japanese Americans became more 'American' and less 'Japanese' in their personality as they reported higher participation in the U.S. culture. The results support the view that personality can be subject to cultural influence. (PsycInfo Database Record (c) 2020 APA, all rights reserved)</t>
  </si>
  <si>
    <t>http://search.ebscohost.com.proxy-ub.rug.nl/login.aspx?direct=true&amp;db=psyh&amp;AN=2013-20274-003&amp;site=ehost-live&amp;scope=site</t>
  </si>
  <si>
    <t>Acculturation orientations and social relations between immigrant and host community members in California.</t>
  </si>
  <si>
    <t>Bourhis, Richard Y.; Barrette, Geneviève; El-Geledi, Shaha; Schmidt, Ronald Sr.</t>
  </si>
  <si>
    <t>2009-06562-007</t>
  </si>
  <si>
    <t>10.1177/0022022108330988</t>
  </si>
  <si>
    <t>Acculturation; Community Attitudes; Immigration; Intergroup Dynamics; Interpersonal Relationships; Cross Cultural Differences; Adulthood (18 yrs &amp; older); Male; Female</t>
  </si>
  <si>
    <t>This study, based on the Interactive acculturation Model, investigates the acculturation orientations of undergraduates attending a multicultural university in Los Angeles County. European Americans (n = 178), African Americans (n = 88), Asian immigrants (n = 165), and Hispanic immigrants (n = 109) participated in the questionnaire study. Results show that individualism and integrationism are the acculturation orientations preferred by European American, African American, and Asian immigrants. Hispanic immigrants also prefer individualism. assimilationism, segregationism, and exclusionism are least endorsed by host community members. Immigrants moderately endorse separatism and weakly endorse assimilationism and marginalization. The social psychological profile of each acculturation orientation revealed that integrationism and individualism was associated with harmonious relational outcomes, whereas assimilationism, segregationism, separatism, and exclusionism were associated with problematic and conflictual intergroup relations. (PsycINFO Database Record (c) 2016 APA, all rights reserved)</t>
  </si>
  <si>
    <t>http://search.ebscohost.com.proxy-ub.rug.nl/login.aspx?direct=true&amp;db=psyh&amp;AN=2009-06562-007&amp;site=ehost-live&amp;scope=site</t>
  </si>
  <si>
    <t>Acculturation orientations towards Israeli Arabs and Jewish immigrants in Israel.</t>
  </si>
  <si>
    <t>Bourhis, Richard Y.; Dayan, Joelle</t>
  </si>
  <si>
    <t>2004-12679-004</t>
  </si>
  <si>
    <t>10.1080/00207590344000358</t>
  </si>
  <si>
    <t>Acculturation; Arabs; Immigration; Jews; Racial and Ethnic Attitudes; Adulthood (18 yrs &amp; older); Male; Female</t>
  </si>
  <si>
    <t>The State of Israel can be characterized as having two integration policies: an assimilationist one towards 'valued' Jewish immigrants and a somewhat ethnist one towards its 'devalued' national minority, namely Israeli Arabs. Using the Host Community Acculturation Scale (HCAS), this study explored Jewish undergraduate (N=153) acculturation orientations towards 'valued' Jewish immigrants of Russian and Ethiopian background and towards 'devalued' Israeli Arabs. Results showed that Jewish undergraduates mainly endorsed the integrationism and individualism acculturation orientations towards Jewish immigrants. However, they were more segregationist and exclusionist towards Israeli Arabs than towards Jewish immigrants of Russian and Ethiopian background. Assimilation was weakly endorsed towards both Jewish immigrants and Israeli Arabs. Based on an extensive questionnaire, multiple regression analyses showed that each acculturation orientation had a distinct psychological profile. The integrationism and individualism orientations were endorsed by undergraduates who were tolerant towards ethnic diversity, felt secure personally, culturally, and militarily, and did not endorse the social dominance orientation (SDO)... (PsycINFO Database Record (c) 2016 APA, all rights reserved)</t>
  </si>
  <si>
    <t>http://search.ebscohost.com.proxy-ub.rug.nl/login.aspx?direct=true&amp;db=psyh&amp;AN=2004-12679-004&amp;site=ehost-live&amp;scope=site</t>
  </si>
  <si>
    <t>Acculturation preference profiles of Spaniards and Romanian immigrants: The role of prejudice and public and private acculturation areas.</t>
  </si>
  <si>
    <t>Rojas, Antonio J.; Navas, Marisol; Sayans-Jiménez, Pablo; Cuadrado, Isabel</t>
  </si>
  <si>
    <t>The Journal of Social Psychology</t>
  </si>
  <si>
    <t>2014-26153-007</t>
  </si>
  <si>
    <t>10.1080/00224545.2014.903223</t>
  </si>
  <si>
    <t>Acculturation; Immigration; Preferences; Prejudice; Adulthood (18 yrs &amp; older); Male; Female</t>
  </si>
  <si>
    <t>The main goal of this study was to identify acculturation preference profiles using cluster analysis in public and private areas of culture in the host and immigrant populations, and to find out the relationship between these profiles and prejudice levels. Four hundred and ninety-nine Spaniards and 500 Romanians participated in a survey. The sampling of Spaniards was multistage random and the sampling of Romanians was by quota. The results confirm our predictions. Romanians who are less prejudiced against Spaniards prefer assimilation in public areas and integration in private areas. Romanians who are more prejudiced against Spaniards prefer integration in public areas and separation in private areas. Spaniards who are less prejudiced against Romanians prefer integration in both public and private areas. Spaniards who are more prejudiced against Romanians prefer assimilation in both areas. (PsycINFO Database Record (c) 2017 APA, all rights reserved)</t>
  </si>
  <si>
    <t>http://search.ebscohost.com.proxy-ub.rug.nl/login.aspx?direct=true&amp;db=psyh&amp;AN=2014-26153-007&amp;site=ehost-live&amp;scope=site</t>
  </si>
  <si>
    <t>Acculturation preferences and behavioural tendencies between majority and minority groups: The mediating role of emotions.</t>
  </si>
  <si>
    <t>López‐Rodríguez, Lucía; Cuadrado, Isabel; Navas, Marisol</t>
  </si>
  <si>
    <t>European Journal of Social Psychology</t>
  </si>
  <si>
    <t>2016-11310-001</t>
  </si>
  <si>
    <t>10.1002/ejsp.2181</t>
  </si>
  <si>
    <t>Acculturation; Emotions; Intergroup Dynamics; Minority Groups; Majority Groups; Preferences; Adulthood (18 yrs &amp; older); Young Adulthood (18-29 yrs); Thirties (30-39 yrs); Middle Age (40-64 yrs); Male; Female</t>
  </si>
  <si>
    <t>The main goal of this research was twofold. First, we aimed at determining how acculturation preferences and emotions were related to specific intergroup behavioural tendencies towards majority and minority groups. Second, we aimed at developing an intergroup behavioural tendencies scale that differentiates between valence (facilitation and harm) and intensity (active and passive). The role of intergroup contact was also examined, as it is a known predictor of intergroup prejudice. In order to fulfil these goals, we carried out two studies. In Study 1, Spanish participants (N = 279) answered a questionnaire about Moroccans (a devalued group) or Ecuadorians (a valued group) by reporting their acculturation preferences for immigrants, their positive and negative emotions, quantity of contact with them and behavioural tendencies towards them. In Study 2, Moroccans (N = 92) and Ecuadorians (N = 87) assessed Spaniards on these measures. Results confirmed the structure of the new behavioural tendencies scale across four groups of participants. Overall, findings also showed that acculturation preferences and quantity of contact indirectly predicted behavioural tendencies through positive emotions. This research contributes to knowledge on how the majority and minority's acculturation preferences are related to their emotions and specific dimensions of intergroup behavioural tendencies, confirming the predominant mediating role of positive emotions in this process. (PsycINFO Database Record (c) 2016 APA, all rights reserved)</t>
  </si>
  <si>
    <t>http://search.ebscohost.com.proxy-ub.rug.nl/login.aspx?direct=true&amp;db=psyh&amp;AN=2016-11310-001&amp;site=ehost-live&amp;scope=site</t>
  </si>
  <si>
    <t>Acculturation preferences towards immigrants: Age and gender differences among Finnish adolescents.</t>
  </si>
  <si>
    <t>Nshom, Elvis; Croucher, Stephen M.</t>
  </si>
  <si>
    <t>2018-29072-006</t>
  </si>
  <si>
    <t>10.1016/j.ijintrel.2018.04.005</t>
  </si>
  <si>
    <t>Acculturation; Adolescent Development; Immigration; Preferences; European Cultural Groups; Test Construction; Childhood (birth-12 yrs); School Age (6-12 yrs); Adolescence (13-17 yrs); Adulthood (18 yrs &amp; older); Young Adulthood (18-29 yrs); Male; Female</t>
  </si>
  <si>
    <t>Discussions concerning if and how immigrants should acculturate into Finnish society have become popular especially in the aftermath of the refugee crisis. Despite the abundance of research on acculturation preferences of majority members towards immigrant groups, research on the stability of majority acculturation preferences in adolescence does not exist. In a sample of early (11–13 years, n = 157), middle (14–16 years, n = 362) and late (17–19 years, n = 279) adolescents, this study investigated the stability of acculturation preferences as adolescents age, and the extent to which men and women differed. Contrary to expectations, results indicated support for integration increased with age while support for assimilation decreased with age. Moreover, women were more supportive of integration and less supportive of assimilation when compared to men. Implications and future directions are discussed. (PsycINFO Database Record (c) 2018 APA, all rights reserved)</t>
  </si>
  <si>
    <t>http://search.ebscohost.com.proxy-ub.rug.nl/login.aspx?direct=true&amp;db=psyh&amp;AN=2018-29072-006&amp;site=ehost-live&amp;scope=site</t>
  </si>
  <si>
    <t>Acculturation process and life domains: Different perceptions of native and immigrant adults in Italy.</t>
  </si>
  <si>
    <t>Rania, Nadia; Rebora, Stefania; Migliorini, Laura; Navas, Maria Soledad</t>
  </si>
  <si>
    <t>The Open Psychology Journal</t>
  </si>
  <si>
    <t>2019-17534-001</t>
  </si>
  <si>
    <t>10.2174/1874350101912010055</t>
  </si>
  <si>
    <t>Bentham Science Publishers Ltd.</t>
  </si>
  <si>
    <t>Acculturation; Attitudes; Cross Cultural Psychology; Immigration; Social Integration; Questionnaires; Adulthood (18 yrs &amp; older); Young Adulthood (18-29 yrs); Thirties (30-39 yrs); Middle Age (40-64 yrs); Male; Female</t>
  </si>
  <si>
    <t>Background: Acculturation process has taken up a relevant place in cross-cultural psychology by demonstrating the strong relationships between cultural context and individual behavioral development. Aim: The purpose of this study is to analyse acculturation strategies and attitudes in different life domains of native and immigrant adults living in Italy, following the Relative Acculturation Extended Model (RAEM). Methods: The participants were 250 Italian native and 100 immigrant adults who completed a questionnaire with items to measure their acculturation strategies (real plane) and attitudes (ideal plane), in general and related to different life domains (peripheral and central). Results: Results revealed that the acculturation attitude of immigrants is integration, whereas Italians prefer their assimilation. Conclusion: However, when different life domains are taken into account, immigrants claim to put in practice and prefer integration in most of the domains, whereas Italians perceive immigrants are separated but they prefer their assimilation or integration, depending on the specific domain. (PsycINFO Database Record (c) 2019 APA, all rights reserved)</t>
  </si>
  <si>
    <t>http://search.ebscohost.com.proxy-ub.rug.nl/login.aspx?direct=true&amp;db=psyh&amp;AN=2019-17534-001&amp;site=ehost-live&amp;scope=site</t>
  </si>
  <si>
    <t>Acculturation processes and intercultural relations in peripheral and central domains among native Italian and migrant adolescents. An application of the Relative Acculturation Extended Model (RAEM).</t>
  </si>
  <si>
    <t>Mancini, Tiziana; Bottura, Benedetta</t>
  </si>
  <si>
    <t>2014-22196-005</t>
  </si>
  <si>
    <t>10.1016/j.ijintrel.2013.12.002</t>
  </si>
  <si>
    <t>Acculturation; Cross Cultural Differences; Human Migration; Intergroup Dynamics; Models; Adolescence (13-17 yrs); Adulthood (18 yrs &amp; older); Young Adulthood (18-29 yrs); Male; Female</t>
  </si>
  <si>
    <t>The aim of the study is the examination of the quality of the intercultural relations in central and peripheral domains of adolescent life, through the application of the Relative Acculturation Extended Model (RAEM) of Navas and co-workers to a sample of 355 hosts Italians and 175 migrant adolescents. Participants completed a questionnaire similar to that used by Navas et al., reworked for a different context (Italian) and age (adolescents) and distributed in two versions: for hosts and for migrants. Differences both at an intergroup level of analysis (between hosts and migrants points of view) and at an intraindividual one (between acculturation strategies and attitudes) were explored referring to three central (family, religious and way of thinking) and three peripheral (school, economic habits and friendships/relationships) domains of acculturation. (PsycINFO Database Record (c) 2016 APA, all rights reserved)</t>
  </si>
  <si>
    <t>http://search.ebscohost.com.proxy-ub.rug.nl/login.aspx?direct=true&amp;db=psyh&amp;AN=2014-22196-005&amp;site=ehost-live&amp;scope=site</t>
  </si>
  <si>
    <t>Acculturation specific and general hassles and positive psychological functioning.</t>
  </si>
  <si>
    <t>Safdar, Saba; Lewis, John Rees</t>
  </si>
  <si>
    <t>Journal of Iranian Psychologists</t>
  </si>
  <si>
    <t>2008-03979-007</t>
  </si>
  <si>
    <t>Islamic Azad University</t>
  </si>
  <si>
    <t>Acculturation; Emotional Adjustment; Immigration; Well Being; Adulthood (18 yrs &amp; older); Young Adulthood (18-29 yrs); Thirties (30-39 yrs); Middle Age (40-64 yrs); Aged (65 yrs &amp; older); Male; Female</t>
  </si>
  <si>
    <t>The present study examined how positive psychological functioning moderates the effect of acculturation specific and general hassles on the psychological adaptation of 238 Iranian immigrants living in the USA, UK, and Netherlands. Instruments being used were: Hassles checklist (Lay and Nguyen, 1998), Psychological wellbeing scale (Ryff, 1989) and Health Symptoms Scale (Safdar, et al., 2003). Positive psychological functioning was inversely related to psychophysical symptoms. Acculturation specific and general hassles were positively associated with psychophysical symptoms, and acculturation specific hassles predicted psychophysical symptoms better than did general hassles. Positive psychological functioning moderated the effect of general, but not acculturation specific, hassles on psychophysical symptoms. (PsycINFO Database Record (c) 2018 APA, all rights reserved)</t>
  </si>
  <si>
    <t>http://search.ebscohost.com.proxy-ub.rug.nl/login.aspx?direct=true&amp;db=psyh&amp;AN=2008-03979-007&amp;site=ehost-live&amp;scope=site</t>
  </si>
  <si>
    <t>Acculturation strategies among professional Chinese immigrants in the Australian workplace.</t>
  </si>
  <si>
    <t>Lu, Ying; Samaratunge, Ramanie; Härtel, Charmine E. J.</t>
  </si>
  <si>
    <t>Asia Pacific Journal of Human Resources</t>
  </si>
  <si>
    <t>2011-05477-005</t>
  </si>
  <si>
    <t>10.1177/1038411110391709</t>
  </si>
  <si>
    <t>Acculturation; Adaptation; Chinese Cultural Groups; Diversity in the Workplace; Immigration; Adulthood (18 yrs &amp; older); Young Adulthood (18-29 yrs); Thirties (30-39 yrs); Middle Age (40-64 yrs); Male; Female</t>
  </si>
  <si>
    <t>A survey study of 214 professional immigrants born in mainland China was undertaken to examine their adaptation into the Australian workplace. It investigates the predictors of acculturation strategy selection including language proficiency, education experience in the host country, work-related experience outside the home country, and social support at work. Cluster analysis showed that professional Chinese immigrants have a predominant preference to maintain their home culture while logistic regression revealed that a model combining higher levels of English proficiency and social support at work predicted higher levels of acculturation. Findings also revealed that social support at work is the better indicator of acculturation among this immigrant group. The article concludes with practical implications for organizations and managers and research directions for future work. (PsycINFO Database Record (c) 2016 APA, all rights reserved)</t>
  </si>
  <si>
    <t>http://search.ebscohost.com.proxy-ub.rug.nl/login.aspx?direct=true&amp;db=psyh&amp;AN=2011-05477-005&amp;site=ehost-live&amp;scope=site</t>
  </si>
  <si>
    <t>Acculturation strategies and adjustment among immigrant and host Italian communities.</t>
  </si>
  <si>
    <t>Migliorini, Laura; Rania, Nadia; Cardinali, Paola</t>
  </si>
  <si>
    <t>2016-12605-007</t>
  </si>
  <si>
    <t>Acculturation; Immigration; Intergroup Dynamics; Social Support; Well Being; Adulthood (18 yrs &amp; older); Male; Female</t>
  </si>
  <si>
    <t>This study examines the relationships between acculturation strategies, social support, and social wellbeing among Italians and immigrants. The paper outlines the acculturation experience that includes interethnic contact and social distance. Adults (309 Italian members of the host society and 104 immigrants) participated in a questionnaire study. Results confirmed the expected association between acculturation strategies, social distance, and positive emotions toward the outgroup. Italian participants that choose integration as the acculturation strategy showed: lower social distance, more positive emotional feelings toward immigrants, higher social well-being. Furthermore, results showed that for immigrants higher levels of social support nullify the positive effects of intergroup contact on social distance or even increase immigrants’ intentions to distance themselves from Italians. (PsycINFO Database Record (c) 2019 APA, all rights reserved)</t>
  </si>
  <si>
    <t>http://search.ebscohost.com.proxy-ub.rug.nl/login.aspx?direct=true&amp;db=psyh&amp;AN=2016-12605-007&amp;site=ehost-live&amp;scope=site</t>
  </si>
  <si>
    <t>Acculturation strategies and attitudes according to the Relative Acculturation Extended Model (RAEM): The perspectives of natives versus immigrants.</t>
  </si>
  <si>
    <t>Navas, Marisol; Rojas, Antonio J.; García, María; Pumares, Pablo</t>
  </si>
  <si>
    <t>2006-22772-004</t>
  </si>
  <si>
    <t>10.1016/j.ijintrel.2006.08.002</t>
  </si>
  <si>
    <t>Acculturation; Attitudes; Immigration; Models; Adulthood (18 yrs &amp; older); Male; Female</t>
  </si>
  <si>
    <t>The purpose of this work was to study acculturation of the African immigrant and host populations in an area in the southeast of Spain (Almería), characterized by a high rate of immigration. A new acculturation model, the Relative Acculturation Extended Model, RAEM [Navas, M., Pumares, P., Sánchez, J., García, M. C., Rojas, A. J., Cuadrado, I., &amp; Asensio, M. (2004). Estrategias y actitudes de aculturación: la perspectiva de los inmigrantes y de los autóctonos en Almería. Sevilla: Dirección General de Coordinación de Políticas Migratorias. Consejería de Gobernación. Junta de Andalucía; Navas, M., García, M. C., Sánchez, J., Rojas, A. J., Pumares, P., &amp; Fernández, J. S. (2005). Relative Acculturation Extended Model: New contributions with regard to the study of acculturation. International Journal of Intercultural Relations, 29, 21-37], is used for this. This model differentiates between the real and ideal planes of acculturation, that is, between the strategies that are actually put into practice and attitudes that are preferred. Moreover, the model distinguishes seven spheres, or domains, of acculturation (political, work, economic, social, family, religious and ways of thinking), in which persons (immigrants and natives) adopt and prefer different acculturation options (strategies and attitudes). About 1523 persons (397 Maghrebis, 434 Sub-Saharans, 398 Spaniards who evaluated the Maghreb exogroup and 385 Spaniards who evaluated the Sub-Saharan exogroup), answered a questionnaire made expressly for the study. According to our predictions, immigrants and natives coincide in their choices for acculturation ('assimilation') in the peripheral domains of the RAEM (work, economic); they also coincide in their acculturation attitudes in the social domain ('integration'); however, they differ enormously in the options preferred for the central spheres, or hard core, of the culture (e.g., family, religious, ways of thinking): While immigrants prefer 'separation', natives continue to prefer 'assimilation'. Advantages of the RAEM division into domains of acculturation are discussed with regard to previous models, as well as the implications for predicting inter-group conflict. (PsycINFO Database Record (c) 2016 APA, all rights reserved)</t>
  </si>
  <si>
    <t>http://search.ebscohost.com.proxy-ub.rug.nl/login.aspx?direct=true&amp;db=psyh&amp;AN=2006-22772-004&amp;site=ehost-live&amp;scope=site</t>
  </si>
  <si>
    <t>Acculturation strategies and attitudes in immigrant and host adolescents: The RAEM in different national contexts.</t>
  </si>
  <si>
    <t>López-Rodríguez, Lucía; Bottura, Benedetta; Navas, Marisol; Mancini, Tiziana</t>
  </si>
  <si>
    <t>Psicologia Sociale</t>
  </si>
  <si>
    <t>2015-05169-002</t>
  </si>
  <si>
    <t>Società editrice il Mulino</t>
  </si>
  <si>
    <t>Acculturation; Adolescent Attitudes; Cross Cultural Differences; Immigration; Questionnaires; Adolescence (13-17 yrs); Male; Female</t>
  </si>
  <si>
    <t>This study examines acculturation perceptions and preferences in peripheral and central life areas in immigrant and host adolescents from Italy (N = 359) and Spain (N = 295), using a questionnaire based on the Relative Acculturation Extended Model by Navas et al. Results showed a discrepancy between immigrant and host participants’ perspectives in both countries: immigrant participants practice and prefer to maintain their original culture in central areas but to adopt the host culture in peripheral ones; host participants perceive immigrants to maintain their original culture but would prefer them to adopt the host culture, in both domains. Implications for intercultural relationships are discussed. (PsycINFO Database Record (c) 2016 APA, all rights reserved)</t>
  </si>
  <si>
    <t>http://search.ebscohost.com.proxy-ub.rug.nl/login.aspx?direct=true&amp;db=psyh&amp;AN=2015-05169-002&amp;site=ehost-live&amp;scope=site</t>
  </si>
  <si>
    <t>Acculturation Strategies and Attitudes of African Immigrants in the South of Spain: Between Reality and Hope.</t>
  </si>
  <si>
    <t>Luque, Marisol Navas; Fernández, María del Carmen García; Tejada, Antonio José Rojas</t>
  </si>
  <si>
    <t>Cross-Cultural Research: The Journal of Comparative Social Science</t>
  </si>
  <si>
    <t>2006-20023-001</t>
  </si>
  <si>
    <t>10.1177/1069397105283405</t>
  </si>
  <si>
    <t>Acculturation; Attitudes; Immigration; Strategies; Idealism; Models; Reality; Adulthood (18 yrs &amp; older); Young Adulthood (18-29 yrs); Thirties (30-39 yrs); Male; Female</t>
  </si>
  <si>
    <t>This research is based on the work of Berry, Bourhis, Piontkowski, and their colleagues on general immigrant acculturation attitudes. The main purpose is to show that the division of the general acculturation attitude into different areas provides more complete information on the acculturation process undergone by immigrants. A new acculturation model, Relative Acculturation Extended Model, (RAEM) has been designed and tested. The model establishes seven areas of acculturation and differentiates among the acculturation strategies adopted (real situation) and the acculturation attitudes preferred (ideal situation) by immigrants. Eight hundred thirteen African immigrants (residents in the south of Spain, Andalusia) who responded to a questionnaire participated in the study. The results show that the general acculturation attitude is one of integration; however, the strategies adopted and the attitudes preferred vary depending on the areas of acculturation considered. (PsycINFO Database Record (c) 2016 APA, all rights reserved)</t>
  </si>
  <si>
    <t>http://search.ebscohost.com.proxy-ub.rug.nl/login.aspx?direct=true&amp;db=psyh&amp;AN=2006-20023-001&amp;site=ehost-live&amp;scope=site</t>
  </si>
  <si>
    <t>Acculturation strategies and symptoms of depression: The Mediators of Atherosclerosis in South Asians Living in America (MASALA) study.</t>
  </si>
  <si>
    <t>Needham, Belinda L.; Mukherjee, Bhramar; Bagchi, Pramita; Kim, Catherine; Mukherjea, Arnab; Kandula, Namratha R.; Kanaya, Alka M.</t>
  </si>
  <si>
    <t>2018-33553-005</t>
  </si>
  <si>
    <t>10.1007/s10903-017-0635-z</t>
  </si>
  <si>
    <t>Acculturation; Major Depression; Symptoms; Immigration; Adulthood (18 yrs &amp; older); Middle Age (40-64 yrs); Aged (65 yrs &amp; older); Male; Female</t>
  </si>
  <si>
    <t>Using latent class analysis, we previously identified three acculturation strategies employed by South Asian immigrants in the US. Members of the Separation class showed a preference for South Asian culture over US culture, while members of the Assimilation class showed a preference for US culture, and those in the Integration class showed a similar preference for South Asian and US cultures. The purpose of this study was to examine associations between these acculturation strategies and symptoms of depression, a common yet underdiagnosed and undertreated mental disorder. We used data from the Mediators of Atherosclerosis in South Asians Living in America (MASALA) study (n = 856). Data were collected between October 2010 and March 2013 in the San Francisco Bay Area and Chicago. Depressive symptoms were assessed using the CES-D Scale. Applying a simple new method to account for uncertainty in class assignment when modeling latent classes as an exposure, we found that respondents in the Separation class had more depressive symptoms than those in the Integration class, but only after taking into account self-reported social support (b = 0.11; p = 0.05). There were no differences in depressive symptoms among those in the Assimilation class vs. those in the Integration class (b = −0.06; p = 0.41). Social support may protect against elevated symptoms of depression in South Asian immigrants with lower levels of integration into US culture. (PsycINFO Database Record (c) 2018 APA, all rights reserved)</t>
  </si>
  <si>
    <t>http://search.ebscohost.com.proxy-ub.rug.nl/login.aspx?direct=true&amp;db=psyh&amp;AN=2018-33553-005&amp;site=ehost-live&amp;scope=site</t>
  </si>
  <si>
    <t>Acculturation strategies, coping process and acculturative stress.</t>
  </si>
  <si>
    <t>Kosic, Ankica</t>
  </si>
  <si>
    <t>Scandinavian Journal of Psychology</t>
  </si>
  <si>
    <t>2004-17080-001</t>
  </si>
  <si>
    <t>10.1111/j.1467-9450.2004.00405.x</t>
  </si>
  <si>
    <t>Acculturation; Coping Behavior; Immigration; Motivation; Stress; Decision Making; Adulthood (18 yrs &amp; older); Male; Female</t>
  </si>
  <si>
    <t>Using structural equation modeling, this study examines the influences of motivational factors (Need for Cognitive Closure--NCC--and Decisiveness), coping strategies and acculturation strategies on levels of acculturative stress. Two groups of immigrants in Rome (Croatians n=156 and Poles n=179) completed a questionnaire that included scales for the various factors. Although our initial hypothesized model was not confirmed, a modified model showed that the motivational factors of NCC and Decisiveness indirectly influence acculturative stress. The modified model with good fit indices indicated that the relationship between NCC and Decisiveness are mediated by coping strategies and acculturation strategies. Specifically, NCC is associated positively with avoidance coping, which in turn is negatively associated with the host group relationships and positively with the original culture maintenance. The last two dimensions predicted lower levels of acculturative stress. Decisiveness was positively associated with the problem-oriented coping and, negatively, with emotional and avoidance coping. (PsycINFO Database Record (c) 2018 APA, all rights reserved)</t>
  </si>
  <si>
    <t>http://search.ebscohost.com.proxy-ub.rug.nl/login.aspx?direct=true&amp;db=psyh&amp;AN=2004-17080-001&amp;site=ehost-live&amp;scope=site</t>
  </si>
  <si>
    <t>Acculturation strategies, personality traits and acculturation stress: A study of first generation immigrants from transnational marital context.</t>
  </si>
  <si>
    <t>Ramdhonee, Karishma; Bhowon, Uma</t>
  </si>
  <si>
    <t>Psychology and Developing Societies</t>
  </si>
  <si>
    <t>2012-28695-002</t>
  </si>
  <si>
    <t>10.1177/097133361202400202</t>
  </si>
  <si>
    <t>Acculturation; Immigration; Marriage; Personality Traits; Stress; Generational Differences; Adulthood (18 yrs &amp; older); Young Adulthood (18-29 yrs); Thirties (30-39 yrs); Middle Age (40-64 yrs); Male; Female</t>
  </si>
  <si>
    <t>This study examined the influence of acculturation strategies (integration and marginalisation) and personality variables of big five trials on acculturative stress among a convenience sample of 76 first generation adults who immigrated to Mauritius after transnational marriages. Response to a structured questionnaire revealed that integration was the most adopted acculturation strategy. Neuroticism, openness to experience and agreeableness emerged as significant predictors of integration and marginalisation (except agreeableness) strategies and acculturative stress. A hierarchical regression analysis revealed neuroticism, openness to experience and marginalisation as significant predictors of acculturative stress. The results suggest that both personality traits and mode of acculturation account for significant variance in the experience of acculturative stress. (PsycInfo Database Record (c) 2020 APA, all rights reserved)</t>
  </si>
  <si>
    <t>http://search.ebscohost.com.proxy-ub.rug.nl/login.aspx?direct=true&amp;db=psyh&amp;AN=2012-28695-002&amp;site=ehost-live&amp;scope=site</t>
  </si>
  <si>
    <t>Acculturation stress and allostatic load among Mexican immigrant women.</t>
  </si>
  <si>
    <t>D'Alonzo, Karen Therese; Munet-Vilaro, Frances; Carmody, Dennis P.; Guarnaccia, Peter J.; Linn, Anne Marie; Garsman, Lisa</t>
  </si>
  <si>
    <t>Revista Latino-Americana de Enfermagem</t>
  </si>
  <si>
    <t>2019-24543-001</t>
  </si>
  <si>
    <t>Escola de Enfermagem de Ribeirao Preto</t>
  </si>
  <si>
    <t>Acculturation; Immigration; Social Stress; Latinos/Latinas; Body Mass Index; Hemoglobin; Metabolic Syndrome; Obesity; Adulthood (18 yrs &amp; older); Female</t>
  </si>
  <si>
    <t>Objectives: this case-control study compared levels of stress and allostatic load (AL) among Mexican women in the US (n = 19) and Mexico (n = 40). Method: measures of stress included the Perceived Stress Scale (PSS) and the Hispanic Women’s Social Stressor Scale (HWSSS). A composite measure of 8 indicators of AL (systolic and diastolic blood pressure, body mass index (BMI), waist-to-hip ratio, total cholesterol, glycated hemoglobin (hemoglobin A1C), triglycerides and C-reactive protein) was calculated. Results: there were no significant group differences in AL between Mexican and Mexican immigrant women (t = 1.55, p = .126). A principal component factor analysis was conducted on the 8 AL indicators; a 2-factor solution explained 57% of the variance. Group differences in the two AL factors were analyzed using MANOVA. BMI and waist-to-hip ratios were lower, but blood pressure and triglycerides were higher in the US group and were mediated by time in the US. Greater acculturation stress was significantly related to increased waist-to-hip ratio (r = .57, p = .02). Final remarks: findings suggest some measures of AL increased with time in the US, and acculturation stress may be a significant factor. (PsycINFO Database Record (c) 2019 APA, all rights reserved)</t>
  </si>
  <si>
    <t>http://search.ebscohost.com.proxy-ub.rug.nl/login.aspx?direct=true&amp;db=psyh&amp;AN=2019-24543-001&amp;site=ehost-live&amp;scope=site</t>
  </si>
  <si>
    <t>Acculturation stress and bullying among immigrant youths in Spain.</t>
  </si>
  <si>
    <t>Messinger, Adam M.; Nieri, Tanya A.; Villar, Paula; Luengo, Maria Angeles</t>
  </si>
  <si>
    <t>Journal of School Violence</t>
  </si>
  <si>
    <t>2012-24429-004</t>
  </si>
  <si>
    <t>10.1080/15388220.2012.706875</t>
  </si>
  <si>
    <t>Acculturation; Immigration; Risk Factors; Bullying; Stress; Childhood (birth-12 yrs); School Age (6-12 yrs); Adolescence (13-17 yrs); Male; Female</t>
  </si>
  <si>
    <t>Few bullying studies focus on immigrant youths or acculturation stress as a risk factor for bullying and being bullied. Employing a sample of 1,157 foreign-born secondary students in Spain, we found that acculturation stress was widely experienced, although the average level of stress was moderate. Five percent of the sample reported being bully-victims; that is, simultaneously being a perpetrator and victim of bullying. Another 5% reported only victimization experience, and 12% reported only perpetration experience. Multinomial logistic regression results showed that acculturation stress was associated with increased odds of being a bully-victim but not with the odds of being just a victim or the odds of being just a perpetrator. The findings highlight areas for future research exploring the chronology of perpetration and victimization for bully-victims, whether bullies of immigrant youths are immigrants or natives, and relations between sources of acculturation stress and forms of bullying. (PsycINFO Database Record (c) 2016 APA, all rights reserved)</t>
  </si>
  <si>
    <t>http://search.ebscohost.com.proxy-ub.rug.nl/login.aspx?direct=true&amp;db=psyh&amp;AN=2012-24429-004&amp;site=ehost-live&amp;scope=site</t>
  </si>
  <si>
    <t>Acculturation Stress and Depression among Asian Immigrant Elders.</t>
  </si>
  <si>
    <t>Mui, Ada C.; Kang, Suk-Young</t>
  </si>
  <si>
    <t>Social Work</t>
  </si>
  <si>
    <t>2006-11055-006</t>
  </si>
  <si>
    <t>10.1093/sw/51.3.243</t>
  </si>
  <si>
    <t>Acculturation; Immigration; Major Depression; Psychiatric Symptoms; Southeast Asian Cultural Groups; Gerontology; Adulthood (18 yrs &amp; older); Aged (65 yrs &amp; older); Male; Female</t>
  </si>
  <si>
    <t>This study examines the association between acculturation stress and depressive symptoms in a regional probability sample (n = 407) of six groups of Asian immigrant elders (Chinese, Korean, Indian, Filipino, Vietnamese, and Japanese). Findings suggest that about 40 percent of the sample were depressed, indicating higher depression rates than found in other studies of older American or Asian elderly samples in the United States and Asia. Multiple regression analyses indicated that acculturation stress caused by elders' perception of a cultural gap between themselves and their adult children was associated with high depression levels. Other predictors of depression were poor perceived health, stressful life events, religiosity, proximity of children, assistance received from adult children, and longer residence in the United States. Data suggest that depression is prevalent among urban Asian immigrant elders and that there is great heterogeneity among Asian ethnic subgroups. Implications for social work practice are discussed. (PsycINFO Database Record (c) 2018 APA, all rights reserved)</t>
  </si>
  <si>
    <t>http://search.ebscohost.com.proxy-ub.rug.nl/login.aspx?direct=true&amp;db=psyh&amp;AN=2006-11055-006&amp;site=ehost-live&amp;scope=site</t>
  </si>
  <si>
    <t>Acculturation stress and mental health among the marriage migrant women in Busan, South Korea.</t>
  </si>
  <si>
    <t>Im, Hyuk; Lee, Ki Young; Lee, Hyo Young</t>
  </si>
  <si>
    <t>Community Mental Health Journal</t>
  </si>
  <si>
    <t>2013-42524-001</t>
  </si>
  <si>
    <t>10.1007/s10597-013-9663-x</t>
  </si>
  <si>
    <t>Acculturation; Coping Behavior; Human Migration; Marriage; Mental Health; Demographic Characteristics; Human Females; Sociocultural Factors; Stress; Childhood (birth-12 yrs); School Age (6-12 yrs); Adolescence (13-17 yrs); Adulthood (18 yrs &amp; older); Young Adulthood (18-29 yrs); Thirties (30-39 yrs); Middle Age (40-64 yrs); Female</t>
  </si>
  <si>
    <t>Our study investigated mental health and associated factors, especially acculturation stress and coping resources, among 'marriage migrant' women. Cross-sectional data were collected for 501 marriage migrant women, about 10 % of those living in Busan, South Korea. Acculturation stress, coping resources, sociodemographic factors were examined using structured questionnaires, and the General Health Questionnaire-28 was administered as a measure of mental health. Many factors were related to mental health, especially marital satisfaction. Core cultural shock and self-rated economic status, interpersonal stress, and social support were also significantly related to mental health status. This study highlights the importance of marriage migrant women’s mental health in South Korea. To improve their mental health, increased marital satisfaction, social support, resettlement funds, and/or educational programs that foster coping are needed. Additionally, we should encourage establishment of and participation in marriage migrant self-help groups, which can facilitate adaptation to marriage and to Korean culture. (PsycINFO Database Record (c) 2018 APA, all rights reserved)</t>
  </si>
  <si>
    <t>http://search.ebscohost.com.proxy-ub.rug.nl/login.aspx?direct=true&amp;db=psyh&amp;AN=2013-42524-001&amp;site=ehost-live&amp;scope=site</t>
  </si>
  <si>
    <t>Acculturation to what? unveiling 'fragmented acculturation' and 'subjective mainstreams' in a Muslim American community.</t>
  </si>
  <si>
    <t>Howe, Melissa Jennifer Kenney</t>
  </si>
  <si>
    <t>2014-99131-126</t>
  </si>
  <si>
    <t>Acculturation; Emotional Intelligence; Muslims; Positive Psychology; Tourism; Muslim Americans</t>
  </si>
  <si>
    <t>In this dissertation I explore acculturation in a mixed-ethnic, mixed-nativity, Muslim American community located in a suburb of Chicago, addressing the question, 'Muslim American acculturation to what?' Building on previous scholarship and my empirical findings, I put a spotlight on a phenomenon I call 'fragmented acculturation' and identify 'subjective mainstreams' as one key, generally overlooked, underlying factor. In brief, the cultural variety within Muslim American communities as well as within an envisioned 'mainstream America' forces us to reckon with acculturation as a kaleidoscope of individual practices and meanings. I draw on analyses of original questionnaire data collected from 246 Bridgeview Muslim youths and adults (as part of the Islamic Adaptations Project, led by Professor Richard A. Shweder, and generously supported by the Russell Sage Foundation), and extensive fieldwork in the Bridgeview Muslim community. Substantive chapters highlight intra-communal diversity with respect to respondents' demographic characteristics (Chapter 3), their beliefs and practices pertaining to Islamic clothing (Chapter 4), their subjective identifications of popular American values (Chapter 5), their reported compatibility with those values (Chapter 6), and other aspects of everyday life. Throughout, I employ these findings to interrogate and build on prominent theories of immigrant and Muslim American acculturation, as well as to forge paths for future research. (PsycINFO Database Record (c) 2016 APA, all rights reserved)</t>
  </si>
  <si>
    <t>http://search.ebscohost.com.proxy-ub.rug.nl/login.aspx?direct=true&amp;db=psyh&amp;AN=2014-99131-126&amp;site=ehost-live&amp;scope=site</t>
  </si>
  <si>
    <t>Acculturation versus cultural retention: The interactive impact of acculturation and co-ethnic ties on substance use among Chinese students in the United States.</t>
  </si>
  <si>
    <t>Yang, Xiaozhao Yousef; Yang, Fenggang</t>
  </si>
  <si>
    <t>2018-21451-005</t>
  </si>
  <si>
    <t>10.1007/s10903-017-0598-0</t>
  </si>
  <si>
    <t>Acculturation; Alcohol Drinking Patterns; Chinese Cultural Groups; Drug Usage; Tobacco Smoking; Adulthood (18 yrs &amp; older); Male; Female</t>
  </si>
  <si>
    <t>Acculturation is often found to increase substance use among immigrants in the U.S., but such effect may depend on how immigrants are attached to their co-ethnic community. Meanwhile, the high socioeconomic status of some new immigrant groups also challenges the classical assumption that ties to co-ethnic community are associated with deviance. With a sample (n = 960) collected from a population of Chinese students in a large public university in the U.S., we tested how do the interplays between acculturation and co-ethnic ties affect substance use. This study establishes that: (1) different dimensions of acculturation have opposite effects on substance use; (2) acculturative stress does not explain the association between acculturation and substance use; (3) acculturation increases the likelihood of substance use only when one has weak attachment to their co-ethnic community. The findings are consistent for three dependent variables: smoking, drinking, and drunkenness, and for the different constructs of acculturation and co-ethnic ties. Ties to co-ethnic community may provide important social support for immigrants, while acculturation may alleviate the insular subculture that promotes at-risk behaviors. We encourage policy makers to consider the cooperative nature of acculturation and cultural retention for the improvement of health among this growing population. (PsycINFO Database Record (c) 2019 APA, all rights reserved)</t>
  </si>
  <si>
    <t>http://search.ebscohost.com.proxy-ub.rug.nl/login.aspx?direct=true&amp;db=psyh&amp;AN=2018-21451-005&amp;site=ehost-live&amp;scope=site</t>
  </si>
  <si>
    <t>Acculturation, acculturative stress, and depressive symptoms in international migrants: A study with Vietnamese women in South Korea.</t>
  </si>
  <si>
    <t>Cho, Yong Ju; Jang, Yuri; Ko, Jung Eun; Lee, Sun Hae; Moon, Soo Kyung</t>
  </si>
  <si>
    <t>2018-45045-009</t>
  </si>
  <si>
    <t>10.1007/s10903-017-0661-x</t>
  </si>
  <si>
    <t>Acculturation; Major Depression; Mental Health; Environmental Stress; Female Attitudes; Immigration; Adulthood (18 yrs &amp; older); Young Adulthood (18-29 yrs); Thirties (30-39 yrs); Middle Age (40-64 yrs); Female</t>
  </si>
  <si>
    <t>Globally, there have been increasing numbers of migrant women; these women are at an increased risk for depressive symptoms. The purpose of this study was to examine the associations among acculturation, acculturative stress and depressive symptoms in Vietnamese women who migrated to South Korea through marriages. We hypothesized that acculturative stress would serve as a mediator in the relationship between acculturation and depressive symptoms. Our findings from surveys with 217 Vietnamese immigrant women showed that the indirect effect of acculturation on depressive symptoms, mediated through acculturative stress [− .15 (.04)], was significant (bias corrected 95% confidence interval for the indirect effect = − .25, − .08). Low levels of acculturation increased acculturative stress, which in turn led to the elevated symptoms of depression. Our findings not only illuminate the adaptation processes of international, female migrants but also suggest avenues to protect and promote their mental well-being. (PsycINFO Database Record (c) 2020 APA, all rights reserved)</t>
  </si>
  <si>
    <t>http://search.ebscohost.com.proxy-ub.rug.nl/login.aspx?direct=true&amp;db=psyh&amp;AN=2018-45045-009&amp;site=ehost-live&amp;scope=site</t>
  </si>
  <si>
    <t>Acculturation, acculturative stress, religiosity and psychological adjustment among Muslim Arab American adolescents.</t>
  </si>
  <si>
    <t>Goforth, Anisa N.; Oka, Evelyn R.; Leong, Frederick T. L.; Denis, Daniel J.</t>
  </si>
  <si>
    <t>Journal of Muslim Mental Health</t>
  </si>
  <si>
    <t>2015-45521-002</t>
  </si>
  <si>
    <t>10.3998/jmmh.10381607.0008.202</t>
  </si>
  <si>
    <t>University of Michigan Press</t>
  </si>
  <si>
    <t>Acculturation; Adolescent Psychology; Arabs; Psychodynamics; Muslim Americans; Emotional Adjustment; Religiosity; Stress; Childhood (birth-12 yrs); School Age (6-12 yrs); Adolescence (13-17 yrs); Adulthood (18 yrs &amp; older); Young Adulthood (18-29 yrs); Male; Female</t>
  </si>
  <si>
    <t>Whether born in the United States or being immigrants, Arab American youth may experience challenges related to maintaining their heritage culture’s traditions and values and the degree to which they participate in mainstream American traditions. The goals of this research study were to see how acculturation, acculturative stress, and religiosity were associated with psychological adjustment among Muslim Arab American adolescents. One hundred twenty-eight Arab American adolescents (ages 11–21) completed measures of demographic characteristics, acculturation, acculturative stress, religiosity, and social desirability. Age, gender, religiosity, and length of time in the U.S. were found to significantly predict heritage cultural orientation but not mainstream cultural orientation. Moreover, acculturation and acculturative stress significantly predicted psychological problems but not overall competence. The implications of the study address how practitioners may consider religion, acculturation, and related stressors when working with Muslim Arab American adolescents. (PsycINFO Database Record (c) 2016 APA, all rights reserved)</t>
  </si>
  <si>
    <t>http://search.ebscohost.com.proxy-ub.rug.nl/login.aspx?direct=true&amp;db=psyh&amp;AN=2015-45521-002&amp;site=ehost-live&amp;scope=site</t>
  </si>
  <si>
    <t>Acculturation, acculturative stressors, and family relationships among Latina/o immigrants.</t>
  </si>
  <si>
    <t>Bostean, Georgiana; Gillespie, Brian Joseph</t>
  </si>
  <si>
    <t>Cultural Diversity and Ethnic Minority Psychology</t>
  </si>
  <si>
    <t>2017-27609-001</t>
  </si>
  <si>
    <t>10.1037/cdp0000169</t>
  </si>
  <si>
    <t>Acculturation; Family Relations; Immigration; Stress; Latinos/Latinas; Human Migration; Test Construction; Adulthood (18 yrs &amp; older); Male; Female</t>
  </si>
  <si>
    <t>Objectives: Family relationships, widely recognized as core to Latino cultures, are known to vary for Latina/o immigrants based on time in the United States. Less is known about (a) how acculturation explains differences in family relationships by time in the US, and (b) whether acculturative stressors influence different aspects of immigrants’ family relationships. Drawing on an expanded acculturation framework, we explore whether and how attitudinal familism, family contact, and family conflict among immigrant Latina/os vary based on acculturation and acculturative stressors. Method: Using nationally representative data on foreign-born Latina/os (National Latino and Asian American Study; N = 1,618), ordered logistic and OLS regression analyses examined whether differences in family relationships by time in the US are explained by acculturation factors, and whether acculturative stressors are associated with family relationships when controlling for other important sociodemographic factors. Results: Accounting for acculturation reduces the effect of time in the US on attitudinal familism and family conflict to nonsignificance. Spanish language proficiency and ethnic identity are associated with higher attitudinal familism, while English proficiency is associated with increased family conflict. Additionally, acculturative stressors (involuntary context of exit, hostile context of reception, limited origin country ties) are associated with lower attitudinal familism and higher conflict. Conclusions: Results highlight the importance of (a) examining the ways that migration influences multiple aspects of family relationships, (b) adopting a more comprehensive acculturation framework. Particularly novel are our findings on how acculturative stressors are associated with different family outcomes. (PsycINFO Database Record (c) 2018 APA, all rights reserved)</t>
  </si>
  <si>
    <t>http://search.ebscohost.com.proxy-ub.rug.nl/login.aspx?direct=true&amp;db=psyh&amp;AN=2017-27609-001&amp;site=ehost-live&amp;scope=site</t>
  </si>
  <si>
    <t>Acculturation, body perception, and weight status among Vietnamese American students.</t>
  </si>
  <si>
    <t>Choi, Jin Young; Hwang, Jessica; Yi, Jenny</t>
  </si>
  <si>
    <t>2011-25096-019</t>
  </si>
  <si>
    <t>10.1007/s10903-011-9468-3</t>
  </si>
  <si>
    <t>Acculturation; Body Image; Body Weight; Health Behavior; Student Attitudes; Vietnamese Cultural Groups; Adulthood (18 yrs &amp; older); Male; Female</t>
  </si>
  <si>
    <t>The effects of acculturation, body perception, and health behaviors on weight status among Vietnamese American students in Houston, Texas were examined for our research. A survey was mailed to 600 randomly selected Vietnamese American students at one university, and 261 complete surveys (response rate, 43.5%) were used for final analyses. Respondents were classified as overweight or normal weight based on the World Health Organization recommended overweight cutoff for Asians (BMI of 23 kg/m²). About 32% of respondents were overweight. Men, undergraduate students, and those with an acceptable body perception were more likely to be overweight. Nativity and its interaction with length of US residence were significant predictors of weight status after controlling for other variables. Foreign-born respondents were less likely to be overweight than US-born respondents, but the risk of being overweight with increasing years of US residence was much greater for the foreign-born than for the US-born. The results suggest the need for culturally tailored overweight and obesity prevention programs for Vietnamese Americans. (PsycINFO Database Record (c) 2016 APA, all rights reserved)</t>
  </si>
  <si>
    <t>http://search.ebscohost.com.proxy-ub.rug.nl/login.aspx?direct=true&amp;db=psyh&amp;AN=2011-25096-019&amp;site=ehost-live&amp;scope=site</t>
  </si>
  <si>
    <t>Acculturation, discrimination and depressive symptoms among Korean immigrants in New York City.</t>
  </si>
  <si>
    <t>Bernstein, Kunsook Song; Park, So-Youn; Shin, Jinah; Cho, Sunhee; Park, Yeddi</t>
  </si>
  <si>
    <t>2011-01956-003</t>
  </si>
  <si>
    <t>10.1007/s10597-009-9261-0</t>
  </si>
  <si>
    <t>Acculturation; Immigration; Korean Cultural Groups; Major Depression; Social Discrimination; Adulthood (18 yrs &amp; older); Young Adulthood (18-29 yrs); Thirties (30-39 yrs); Middle Age (40-64 yrs); Aged (65 yrs &amp; older); Male; Female</t>
  </si>
  <si>
    <t>Immigrant mental health issues, especially depression in relation to discrimination and acculturation, are reported to be serious problems in the United States. The current study examines the prevalence of depressive symptoms among Korean immigrants in New York City (NYC) and its relation to self-reported discrimination and acculturation. A sample of 304 Korean immigrants residing in NYC completed a survey utilizing the Center for Epidemiologic Studies Depression Scale—Korean version, Discrimination Scale, and Acculturation Stress Scale. Results indicated that 13.2% of the sample population demonstrated some symptoms of depression and that variable such as living alone, marital status, education, years in US and income impact high depression scores. Results also indicate that higher self-reported exposure to discrimination and lower self-reported language proficiency were related to higher depressive symptoms. In a regression analysis, discrimination and English language proficiency were significant predictors of depression, but acculturation stress was not significantly related to depression. (PsycINFO Database Record (c) 2019 APA, all rights reserved)</t>
  </si>
  <si>
    <t>http://search.ebscohost.com.proxy-ub.rug.nl/login.aspx?direct=true&amp;db=psyh&amp;AN=2011-01956-003&amp;site=ehost-live&amp;scope=site</t>
  </si>
  <si>
    <t>Acculturation, discrimination, and depression among unauthorized Latinos/as in the United States.</t>
  </si>
  <si>
    <t>Cobb, Cory L.; Xie, Dong; Meca, Alan; Schwartz, Seth J.</t>
  </si>
  <si>
    <t>2016-34985-001</t>
  </si>
  <si>
    <t>10.1037/cdp0000118</t>
  </si>
  <si>
    <t>Acculturation; Discrimination; Immigration; Major Depression; Latinos/Latinas; Ethnic Identity; Psychosocial Factors; Risk Factors; Symptoms; Adulthood (18 yrs &amp; older); Young Adulthood (18-29 yrs); Thirties (30-39 yrs); Middle Age (40-64 yrs); Male; Female</t>
  </si>
  <si>
    <t>Objectives: In the present study we sought to examine psychosocial factors among undocumented Latinos/as acculturating to and residing in the United States. Method: A community sample of 122 self-reported undocumented Latino/a immigrants was asked to complete questionnaires measuring components of acculturation (i.e., national and ethnic identity, U.S. heritage-cultural knowledge, English and Spanish competency), everyday discrimination (ED), and depressive symptoms. Results: Results indicated that, among acculturation dimensions, only ethnic identity was significantly related to increased ED whereas ED was associated with increased depression. Moreover, experiences of ED mediated the relationship between ethnic identity and depression. Conclusions: Results may indicate ethnic identity as a risk factor for this group through experiences of discrimination. Theoretical and practical implications are discussed in terms of advancing theory and from a multicultural counseling perspective, respectively. (PsycINFO Database Record (c) 2017 APA, all rights reserved)</t>
  </si>
  <si>
    <t>http://search.ebscohost.com.proxy-ub.rug.nl/login.aspx?direct=true&amp;db=psyh&amp;AN=2016-34985-001&amp;site=ehost-live&amp;scope=site</t>
  </si>
  <si>
    <t>Acculturation, discrimination, and immigration stress: Prediction of elevated blood pressure in russian and ukrainian speaking immigrants.</t>
  </si>
  <si>
    <t>Andrichuk, Lyudmila</t>
  </si>
  <si>
    <t>10-B</t>
  </si>
  <si>
    <t>2012-99080-371</t>
  </si>
  <si>
    <t>Blood Pressure; Discrimination; Immigration; Racial and Ethnic Groups; Stress</t>
  </si>
  <si>
    <t>Objectives. This study examined the association between perceived discrimination, acculturation, immigration stress and blood pressure. Methods. The participants included 76 Russian and Ukrainian immigrant men and women, aged 18–65 who immigrated to the United States at or after the age of 16 years (M age = 40.97 SD = 10.94). Perceived discrimination, immigration stress, and acculturation were measured with self-report instruments, and the blood pressure was measured with a sphygmomanometer. The research design was correlational. To determine which of the study variables would likely best predict systolic and diastolic blood pressure, exploratory Pearson product-moment correlations were computed in which the chosen predictor variables were correlated with systolic and diastolic blood pressure reported by the participants and other potential predictor variables. Multiple regression analyses were then used to determine which study variable best predicts blood pressure. Predictor variables were discrimination, acculturation, and immigration stress. Criterion variable was blood pressure. Results. Multiple Regression analyses revealed that perceived discrimination was the best predictor of systolic blood pressure, with immigration stress as the second best predictor. Discrimination and immigration stress level were shown to equally predict diastolic blood pressure. Specifically, higher systolic and diastolic blood pressure was associated with higher levels of discrimination and immigration stress. Acculturation was found to be unrelated to systolic and diastolic blood pressure. Conclusion. This study highlights the importance of examining and fills in a critical gap in knowledge concerning the effects of discrimination and immigration stress on blood pressure and health in general in Russian- and Ukranian-speaking immigrants and other ethnic minorities. (PsycINFO Database Record (c) 2016 APA, all rights reserved)</t>
  </si>
  <si>
    <t>http://search.ebscohost.com.proxy-ub.rug.nl/login.aspx?direct=true&amp;db=psyh&amp;AN=2012-99080-371&amp;site=ehost-live&amp;scope=site</t>
  </si>
  <si>
    <t>Acculturation, economic stress, social relationships and school satisfaction among migrant children in urban China.</t>
  </si>
  <si>
    <t>Fang, Lue; Sun, Rachel C. F.; Yuen, Mantak</t>
  </si>
  <si>
    <t>Journal of Happiness Studies: An Interdisciplinary Forum on Subjective Well-Being</t>
  </si>
  <si>
    <t>2014-57073-001</t>
  </si>
  <si>
    <t>10.1007/s10902-014-9604-6</t>
  </si>
  <si>
    <t>Academic Achievement; Acculturation; Financial Strain; Satisfaction; Interpersonal Relationships; Immigration; Childhood (birth-12 yrs); School Age (6-12 yrs); Adolescence (13-17 yrs); Male; Female</t>
  </si>
  <si>
    <t>Rural to urban migration has become a prominent phenomenon in China. In linking migration to children’s school trajectories, this mixed-methods study explored a range of cultural and contextual factors that contribute to Chinese children’s school wellbeing in the migratory process. The key variables included acculturative attitudes, economic stress, and relationships with family, teachers and peers. The study drew upon survey data from a sample of 301 Chinese migrant students (4th–9th grade) together with in-depth interviews involving ten selected students focusing on how migrant children’s school happiness and productivity are influenced by acculturation, economic hardship, and social relationships. The quantitative analysis indicated the critical role of integrative states in promoting school satisfaction and achievement. Migrant children with better social relations scored higher levels of hope, which in turn contributed to better school outcomes. Contrary to previous findings, economic stress did not hinder school outcomes for these Chinese migrant children, but appeared to act as a positive motivational factor for pursing academic success. The qualitative analysis echoed the quantitative findings, and provided further explanations for the complexity and particularity of these phenomena. (PsycINFO Database Record (c) 2019 APA, all rights reserved)</t>
  </si>
  <si>
    <t>http://search.ebscohost.com.proxy-ub.rug.nl/login.aspx?direct=true&amp;db=psyh&amp;AN=2014-57073-001&amp;site=ehost-live&amp;scope=site</t>
  </si>
  <si>
    <t>Acculturation, ethnicity, and air pollution perceptions.</t>
  </si>
  <si>
    <t>Johnson, Branden B.</t>
  </si>
  <si>
    <t>Risk Analysis</t>
  </si>
  <si>
    <t>2011-12757-013</t>
  </si>
  <si>
    <t>10.1111/j.1539-6924.2010.01557.x</t>
  </si>
  <si>
    <t>Acculturation; Ethnic Identity; Immigration; Pollution; Risk Perception; Adulthood (18 yrs &amp; older); Male; Female</t>
  </si>
  <si>
    <t>A globalizing world increases immigration between nations, raising the question of how acculturation (or its lack) of immigrants and their descendants to host societies affects risk perceptions. A survey of Paterson, New Jersey, residents tested acculturation’s associations with attitudes to air pollution and its management, and knowledge of and self-reported behaviors concerning air pollution. Linguistic and temporal proxy measures for acculturation were independent variables along with ethnicity, plus controls for gender, age, education, and income in multivariate analyses. About one-fifth of contrasts between non-Hispanic whites, non-Hispanic blacks, English-interviewed Hispanics, and Spanish-interviewed Hispanics were statistically significant (Bonferroni-corrected) and of medium or higher affect size, with most featuring the Spanish-interviewed Hispanics. Knowledge variables featured the most significant differences. Specifically, Spanish-interviewed Hispanics reported less concern, familiarity with pollution, recognition of high pollution, and vigorous outdoor activity, and greater belief that government overregulates pollution than English-interviewed Hispanics (and than the other two groups on most of these variables too). English-interviewed Hispanics did not differ from non-Hispanic whites, but did on several variables from non-Hispanic blacks. Temporal proxies of acculturation among the foreign-born were far less significant, but concern and familiarity with air pollution increased with time spent in the United States, while belief in overregulation and a positive trend in New Jersey pollution increased with time in the nation of origin. Implications of these acculturation and ethnicity findings for risk perception/communication research and practice are discussed. (PsycINFO Database Record (c) 2016 APA, all rights reserved)</t>
  </si>
  <si>
    <t>http://search.ebscohost.com.proxy-ub.rug.nl/login.aspx?direct=true&amp;db=psyh&amp;AN=2011-12757-013&amp;site=ehost-live&amp;scope=site</t>
  </si>
  <si>
    <t>Acculturation, gender, and mental health of southeast Asian immigrant youth in Canada.</t>
  </si>
  <si>
    <t>Hilario, Carla T.; Vo, Dzung X.; Johnson, Joy L.; Saewyc, Elizabeth M.</t>
  </si>
  <si>
    <t>2014-46296-012</t>
  </si>
  <si>
    <t>10.1007/s10903-014-9978-x</t>
  </si>
  <si>
    <t>Immigration; Mental Health; Protective Factors; Southeast Asian Cultural Groups; Stress; Acculturation; Human Sex Differences; Adolescence (13-17 yrs); Adulthood (18 yrs &amp; older); Young Adulthood (18-29 yrs); Male; Female</t>
  </si>
  <si>
    <t>The relationships between mental health, protective factors and acculturation among Southeast Asian youth were examined in this study using a gender-based analysis. Population-based data from the 2008 British Columbia Adolescent Health Survey were used to examine differences in extreme stress and despair by acculturation. Associations between emotional distress and hypothesized protective factors were examined using logistic regression. Stratified analyses were performed to assess gender-related differences. Recent immigrant youth reported higher odds of emotional distress. Family connectedness and school connectedness were linked to lower odds of extreme stress and despair among girls. Family connectedness was associated with lower odds of extreme stress and despair among boys. Higher cultural connectedness was associated with lower odds of despair among boys but with higher odds of extreme stress among girls. Findings are discussed in relation to acculturation and gender-based patterns in protective factors for mental health among Southeast Asian immigrant youth. (PsycINFO Database Record (c) 2016 APA, all rights reserved)</t>
  </si>
  <si>
    <t>http://search.ebscohost.com.proxy-ub.rug.nl/login.aspx?direct=true&amp;db=psyh&amp;AN=2014-46296-012&amp;site=ehost-live&amp;scope=site</t>
  </si>
  <si>
    <t>Acculturation, identity distress, and internalizing symptoms among resettled adolescent refugees.</t>
  </si>
  <si>
    <t>Guler, Jessy; Berman, Steven L.</t>
  </si>
  <si>
    <t>Journal of Adolescence</t>
  </si>
  <si>
    <t>2019-64240-014</t>
  </si>
  <si>
    <t>10.1016/j.adolescence.2019.07.016</t>
  </si>
  <si>
    <t>Acculturation; Distress; Refugees; Multiculturalism; Internalizing Symptoms; Adolescent Development; Ethnic Identity; Cultural Identity; Childhood (birth-12 yrs); School Age (6-12 yrs); Adolescence (13-17 yrs); Male; Female</t>
  </si>
  <si>
    <t>Introduction: This study examines the relations among native and host country acculturation, identity distress, and internalizing symptoms among multicultural adolescent refugees (N = 33) resettled to the United States from a range of countries including Cuba, Iraq, Jordan, Haiti, Colombia, and Venezuela. Despite previous research supporting the advantages of developing a bicultural style to acculturation, mixed results have been found regarding native and host country acculturation patterns among resettled refugees and how these patterns may be associated with refugee mental health outcomes. Methods: The objective of this study was not only to consider the roles that US and native acculturation may play on the self-report of identity distress and internalizing symptoms among refugee adolescents more broadly, but also to consider the role various dimensions of acculturation (e.g., cultural identity, language competence, and cultural competence) may play for refugee adolescents post-resettlement. Results and Conclusions: The study findings indicate that native acculturation, and more specifically native cultural identity, may serve as significant protective factors against identity distress among adolescent refugees post-resettlement, with native cultural identity additionally serving as a protective factor against internalizing symptoms. US acculturation was not found to be significantly associated with identity distress or internalizing symptoms, nor were the acculturative dimensions of language learning (i.e., English and native language competencies), cultural knowledge (i.e., US and native cultural knowledge competencies), or US cultural identity. Recommendations and implications for practice and future research are discussed. (PsycInfo Database Record (c) 2020 APA, all rights reserved)</t>
  </si>
  <si>
    <t>http://search.ebscohost.com.proxy-ub.rug.nl/login.aspx?direct=true&amp;db=psyh&amp;AN=2019-64240-014&amp;site=ehost-live&amp;scope=site</t>
  </si>
  <si>
    <t>Acculturation, Income, Education, Safety Belt Use, and Fatal Motor Vehicle Crashes in California.</t>
  </si>
  <si>
    <t>Romano, Eduardo; Tippetts, Scott; Blackman, Kenneth; Voas, Robert</t>
  </si>
  <si>
    <t>Prevention Science</t>
  </si>
  <si>
    <t>2005-04451-006</t>
  </si>
  <si>
    <t>10.1007/s11121-005-3412-5</t>
  </si>
  <si>
    <t>Acculturation; Education; Income Level; Motor Traffic Accidents; Safety Belts; Motor Vehicles; Adolescence (13-17 yrs); Adulthood (18 yrs &amp; older); Young Adulthood (18-29 yrs); Thirties (30-39 yrs); Middle Age (40-64 yrs); Aged (65 yrs &amp; older); Male; Female</t>
  </si>
  <si>
    <t>This paper investigates the role that acculturation, income, and education play in safety belt nonuse among Californian drivers involved in fatal Motor Vehicle Crashes (MVCs). To achieve this goal, measures of acculturation, income, and education were stochastically incorporated into the Fatality Analysis Reporting System (PARS). Using the 1990 California Tobacco Survey and U.S. Census data, we estimated the combination of zip-code-based measures that most accurately predicts an individual, language-based acculturation index for Hispanics and Asians. Logistic regression was used to investigate the role of these variables in safety belt nonuse in fatal MVCs. We found that acculturation has a positive direct effect on safety belt use among Hispanics. We hypothesize that this positive direct effect is caused by Hispanic immigrants learning the benefits of wearing safety belts. However, our study also suggests an indirect negative effect of acculturation on safety belt use through drinking and driving. Prevention programs aimed at increasing the safety of Hispanic drivers not only need to take acculturation differences into account, but also need to be comprehensive in their message, simultaneously targeting both seat belt nonuse and drinking-and-driving problems. (PsycINFO Database Record (c) 2016 APA, all rights reserved)</t>
  </si>
  <si>
    <t>http://search.ebscohost.com.proxy-ub.rug.nl/login.aspx?direct=true&amp;db=psyh&amp;AN=2005-04451-006&amp;site=ehost-live&amp;scope=site</t>
  </si>
  <si>
    <t>Acculturation, inflammation, and self-rated health in Mexican American immigrants.</t>
  </si>
  <si>
    <t>Lommel, Lisa L.; Thompson, Lisa; Chen, Jyu-Lin; Waters, Catherine; Carrico, Adam</t>
  </si>
  <si>
    <t>2019-53161-017</t>
  </si>
  <si>
    <t>10.1007/s10903-018-0805-7</t>
  </si>
  <si>
    <t>Acculturation; Inflammation; Mental Health; Mexican Americans; Self-Evaluation; Immigration; Major Depression; Proteins; Adulthood (18 yrs &amp; older); Male; Female</t>
  </si>
  <si>
    <t>This cross-sectional study examined the bio-behavioral pathways that may account for poorer self-rated health (SRH) among Mexican American immigrants compared to non-Hispanic whites in the U.S. The association between acculturation and SRH among Mexican American immigrants was also examined. The 2009–2010 National Health and Nutrition Examination Survey enrolled 592 Mexican American immigrants and 2391 U.S.-born, non-Hispanic whites. Predictor variables included Mexican American ethnicity and a validated Acculturation Index comprised of language spoken at home, interview language, and proportion of life residing in the U.S. The mediator variables were depressive symptoms and log10 transformed C-reactive protein. Compared to U.S.-born, non-Hispanic whites, Mexican American immigrants reported poorer SRH. Mexican American immigrant status was also indirectly associated with worse SRH via greater C- reactive protein. Among Mexican American immigrants, greater acculturation was associated with better SRH. Poorer SRH among Mexican American immigrants may be partially attributable to greater inflammation. However, Mexican American immigrants with higher levels of acculturation report better SRH. (PsycInfo Database Record (c) 2020 APA, all rights reserved)</t>
  </si>
  <si>
    <t>http://search.ebscohost.com.proxy-ub.rug.nl/login.aspx?direct=true&amp;db=psyh&amp;AN=2019-53161-017&amp;site=ehost-live&amp;scope=site</t>
  </si>
  <si>
    <t>Acculturation, mental health, and mental health service use among older adults from five Asian ethnic groups.</t>
  </si>
  <si>
    <t>Hong, Seokho</t>
  </si>
  <si>
    <t>2016-16228-281</t>
  </si>
  <si>
    <t>Acculturation; Mental Health; Mental Health Services; Adulthood (18 yrs &amp; older)</t>
  </si>
  <si>
    <t>As the number of older Asian immigrants grows in the U.S., attention to their mental health disparities and mental health care has been increasing. This study aims to identify differences among five ethnic subgroups (Chinese, Japanese, Korean, Filipino, and Vietnamese) of older Asian immigrants in California and to examine predictors of mental health service utilization within each ethnic subgroup. The Behavioral Model for Vulnerable Populations (BMVP) was used to guide the secondary data analysis of a sample of 3,453 older Asian immigrants from the 2009, 2011-2012, and 2013 California Health Interview Survey (CHIS). ANOVA and chi square tests were used to examine group differences and logistic and linear regression analyses were performed to examine predictors of mental health service use and the frequency of mental health service use, respectively. The older Asian immigrant samples were not homogeneous. The Japanese and Filipino samples had better socioeconomic status and higher level of acculturation than others. The Korean sample had the lowest level of mental distress and least use of mental health services. Help-seeking patterns regarding mental health care differed across subgroups. Decreasing age (Chinese and Japanese), female (Vietnamese), not being married (Korean), lower education (Japanese), decreasing perceived safety (Vietnamese), higher levels of mental distress (all), and having perceived need (all) were associated with an increasing likelihood of using mental health services. Not being married (Korean), higher levels of acculturation (Filipino), lower levels of neighborhood cohesion (Korean and Vietnamese), higher levels of perceived safety (Korean) and lower levels of perceived safety (Vietnamese), higher levels of mental distress (Korean and Filipino), and having perceived need (all) were related to more visits for mental health services. Mental health seeking patterns differed by ethnicity within the older Asian immigrant sample. Findings highlight the necessity of cultural competency services and programs for each Asian ethnicity. (PsycINFO Database Record (c) 2016 APA, all rights reserved)</t>
  </si>
  <si>
    <t>http://search.ebscohost.com.proxy-ub.rug.nl/login.aspx?direct=true&amp;db=psyh&amp;AN=2016-16228-281&amp;site=ehost-live&amp;scope=site</t>
  </si>
  <si>
    <t>Acculturation, optimism, and relatively fewer depression symptoms among Mexican immigrants and Mexican Americans.</t>
  </si>
  <si>
    <t>González, Patricia; González, Gerardo M.</t>
  </si>
  <si>
    <t>2009-02318-026</t>
  </si>
  <si>
    <t>10.2466/PR0.103.6.566-576</t>
  </si>
  <si>
    <t>Acculturation; Epidemiology; Immigration; Major Depression; Optimism; Mexican Americans; Symptoms; Adulthood (18 yrs &amp; older); Male; Female</t>
  </si>
  <si>
    <t>The mental health of individuals of Mexican origin may vary as a function of native status (i.e., Mexican born or USA born). Some have reported that Mexican Americans tend to display more depressive symptoms than Mexican immigrants. The present goal was to estimate the associations among acculturation and native status, and explore relative deprivation in the prevalence of depression. Participants included 153 individuals of Mexican origin who completed the Acculturation Rating Scale for Mexican Americans, the Beck Depression Inventory-II, the Revised Generalized Expectancy for Success Scale, and relative deprivation questions. Analyses indicated women and those scoring low on acculturation were significantly more likely to report depressive symptoms. Participants who felt they had relatively better family happiness than Euro-Americans reported lower depressive symptoms. So participants' sex, acculturation, and relative lack of depressive symptoms allow better understanding of depressive symptoms among these Mexican Americans and Mexican immigrants. (PsycINFO Database Record (c) 2016 APA, all rights reserved)</t>
  </si>
  <si>
    <t>http://search.ebscohost.com.proxy-ub.rug.nl/login.aspx?direct=true&amp;db=psyh&amp;AN=2009-02318-026&amp;site=ehost-live&amp;scope=site</t>
  </si>
  <si>
    <t>Acculturation, partner violence, and psychological distress in refugee women from Somalia.</t>
  </si>
  <si>
    <t>Nilsson, Johanna E.; Brown, Chris; Russell, Emily B.; Khamphakdy-Brown, Supavan</t>
  </si>
  <si>
    <t>Journal of Interpersonal Violence</t>
  </si>
  <si>
    <t>2008-15412-009</t>
  </si>
  <si>
    <t>10.1177/0886260508314310</t>
  </si>
  <si>
    <t>Acculturation; Distress; Domestic Violence; Human Females; Intimate Partner Violence; Mental Health; Psychological Stress; Refugees; Adulthood (18 yrs &amp; older); Young Adulthood (18-29 yrs); Thirties (30-39 yrs); Middle Age (40-64 yrs); Aged (65 yrs &amp; older); Female</t>
  </si>
  <si>
    <t>This study examined the relations among acculturation, domestic violence, and mental health in 62 married refugee women from Somalia. Refugees from Somalia constituted the largest group of refugees entering the United States in 2005, and little is known about the presence of domestic violence in this group. The results showed that women who reported greater ability to speak English also reported more experiences of partner psychological abuse and physical aggression. Experiences of more psychological abuse and physical aggressions also predicted more psychological distress. Implications for future research and psychological services are addressed. (PsycINFO Database Record (c) 2016 APA, all rights reserved)</t>
  </si>
  <si>
    <t>http://search.ebscohost.com.proxy-ub.rug.nl/login.aspx?direct=true&amp;db=psyh&amp;AN=2008-15412-009&amp;site=ehost-live&amp;scope=site</t>
  </si>
  <si>
    <t>Acculturation, perceived discrimination, and psychological distress: Experiences of South Asians in Hong Kong.</t>
  </si>
  <si>
    <t>Tonsing, Kareen N.; Tse, Samson; Tonsing, Jenny C.</t>
  </si>
  <si>
    <t>Transcultural Psychiatry</t>
  </si>
  <si>
    <t>2016-01782-007</t>
  </si>
  <si>
    <t>10.1177/1363461515617873</t>
  </si>
  <si>
    <t>Acculturation; Distress; Immigration; Race and Ethnic Discrimination; South Asian Cultural Groups; Mental Health; Racial and Ethnic Attitudes; Adulthood (18 yrs &amp; older); Male; Female</t>
  </si>
  <si>
    <t>Although migration itself may not compromise the mental health of immigrants, the acculturative process can involve highly stressful factors that are specific to immigrant and minority status. Using structural equation modeling, this study examined the relations between acculturation orientations, perceived discrimination, acculturative stress, and psychological distress among 229 Pakistani and 218 Nepalese migrants living in Hong Kong. Although the initial hypothesized model was not confirmed, a modified model with good fit indices showed that acculturation orientation mediated the relationships of perceived discrimination and acculturative stress with psychological distress. Of all the factors in the model, acculturative stress had the strongest association with psychological distress. (PsycINFO Database Record (c) 2017 APA, all rights reserved)</t>
  </si>
  <si>
    <t>http://search.ebscohost.com.proxy-ub.rug.nl/login.aspx?direct=true&amp;db=psyh&amp;AN=2016-01782-007&amp;site=ehost-live&amp;scope=site</t>
  </si>
  <si>
    <t>Acculturation, School Context, and School Outcomes: Adaptation of Refugee Adolescents From the Former Soviet Union.</t>
  </si>
  <si>
    <t>Trickett, Edison J.; Birman, Dina</t>
  </si>
  <si>
    <t>Psychology in the Schools</t>
  </si>
  <si>
    <t>2004-22166-003</t>
  </si>
  <si>
    <t>10.1002/pits.20024</t>
  </si>
  <si>
    <t>Acculturation; Adolescent Attitudes; Immigration; Refugees; School Adjustment; Social Adjustment; Adolescence (13-17 yrs); Male; Female</t>
  </si>
  <si>
    <t>A differentiated model of acculturation was used to assess the relationship of acculturative styles to school adaptation among a group of 110 refugee adolescents from the former Soviet Union. Acculturation was assessed with respect to both American and Russian cultures and, within each culture, distinguished among language competence, behavior, and identity. School adaptation was assessed in terms of academic (GPA), behavioral (disciplinary infractions), and attitudinal (sense of school belonging) components. Results suggested that differing patterns of overall American and Russian acculturation were associated with differing school outcomes, as were language competence, behavior, and identity with respect to the different cultures. In general, higher levels of American acculturation predicted school adaptation while aspects of Russian acculturation were differentially related to school adaptation for different subgroups. Results indicated the importance of conceptualizing acculturation as a multidimensional concept with respect to both culture or origin and culture of resettlement. (PsycINFO Database Record (c) 2017 APA, all rights reserved)</t>
  </si>
  <si>
    <t>http://search.ebscohost.com.proxy-ub.rug.nl/login.aspx?direct=true&amp;db=psyh&amp;AN=2004-22166-003&amp;site=ehost-live&amp;scope=site</t>
  </si>
  <si>
    <t>Acculturation, self-efficacy and social support among Chinese immigrants in Northern Ireland.</t>
  </si>
  <si>
    <t>de Saissy, Cherry Katherine Magnet</t>
  </si>
  <si>
    <t>2009-11056-003</t>
  </si>
  <si>
    <t>10.1016/j.ijintrel.2009.04.002</t>
  </si>
  <si>
    <t>Acculturation; Self-Efficacy; Social Support; Immigration; Adolescence (13-17 yrs); Adulthood (18 yrs &amp; older); Young Adulthood (18-29 yrs); Thirties (30-39 yrs); Middle Age (40-64 yrs); Male; Female</t>
  </si>
  <si>
    <t>An opportunity sample of 108 Chinese participants (nmale = 51 and nfemale = 57; Mage = 29.34) was compared to a second opportunity sample of 98 Northern Irish participants (nmale = 45 and nfemale = 53; Mage = 23.67) on levels of acculturation, self-efficacy and social support. The administered questionnaire contained three scales to measure the aforementioned constructs. The first was the AMAS-NIC, a version of the Abbreviated Multidimensional Acculturation Scale [Zea, M. C., Asner-Self, K. K., Birman, D., &amp; Buki, L. P. (2003). The Abbreviated Multidimensional Acculturation Scale: Empirical validation with two Latino/Latina samples. Cultural Diversity and Ethnic Minority Psychology, 9, 107–126] modified to apply to a population of Chinese immigrants in Northern Ireland. The second measure was Mary Wegner's 1992 English version of the General Self-Efficacy Scale [Wright, S., Johnston, M., &amp; Weinman, J. (1995). Measures in health psychology portfolio. UK: Windsor]. The third was the Social Support Questionnaire (SSQ) whose items emerged through a semi-structured interview and was designed to measure levels of received and sought social support. The purpose of the study was to ascertain the extent to which previous findings concerning acculturation can be generalized to a Chinese immigrant population in Northern Ireland, a country characterized by segregation. T-tests, correlation analyses and a hierarchical regression initially provided support for the generalisability of previous studies on the health benefits of integration as a preferred acculturation strategy [Berry, J. W. (2008). Globalization and acculturation. International Journal of Intercultural Relations, 32, 328–336], but further interpretation of the results brought to light the shortcomings of this model in the context of a segregated society and the inapplicability of the GSES measure within a collectivistic immigrant population. The limitations of the study are discussed and recommendations for future research are made. (PsycINFO Database Record (c) 2016 APA, all rights reserved)</t>
  </si>
  <si>
    <t>http://search.ebscohost.com.proxy-ub.rug.nl/login.aspx?direct=true&amp;db=psyh&amp;AN=2009-11056-003&amp;site=ehost-live&amp;scope=site</t>
  </si>
  <si>
    <t>Acculturation, social connectedness, and subjective well being.</t>
  </si>
  <si>
    <t>Yoon, Eunju</t>
  </si>
  <si>
    <t>8-A</t>
  </si>
  <si>
    <t>2006-99003-042</t>
  </si>
  <si>
    <t>Acculturation; Mental Health; Social Networks; Southeast Asian Cultural Groups; Well Being; Immigration</t>
  </si>
  <si>
    <t>Previous studies on the relationship between acculturation/enculturation and mental health exclusively focused on direct linear relationships between the two, sometimes yielding contradictory and inconsistent findings. More sophisticated and comprehensive research designs have been sought to illuminate the complexity of the relationship. In response, the present study attempted to examine the relationship between acculturation/enculturation and subjective well-being (SWB) by including social connectedness and its importance as a mediator and a moderator, respectively. One hundred eighty-eight Korean immigrants residing in two Midwestern metropolitan areas participated in this study. A survey questionnaire method was used for data collection. Structural equation modeling and hierarchical multiple regression analysis were used for mediation and moderation tests, respectively. The influence of acculturation was found to be partially mediated to SWB via social connectedness both in mainstream society and in the ethnic community. The influence of enculturation was found to be fully mediated to SWB via social connectedness in the ethnic community. In support of SWB theories of goal approaches and value-as-a moderator model, importance of social connectedness in mainstream society was found to moderate the relationship between social connectedness in mainstream society and positive affect. Importance of social connectedness in the ethnic community also was found to moderate the relationship between social connectedness in the ethnic community and positive affect. Theoretical, research, and clinical implications and limitations of this study were discussed and suggestions for future direction of research were made. (PsycINFO Database Record (c) 2016 APA, all rights reserved)</t>
  </si>
  <si>
    <t>http://search.ebscohost.com.proxy-ub.rug.nl/login.aspx?direct=true&amp;db=psyh&amp;AN=2006-99003-042&amp;site=ehost-live&amp;scope=site</t>
  </si>
  <si>
    <t>Acculturation, social connectedness, and subjective well-being.</t>
  </si>
  <si>
    <t>Yoon, Eunju; Lee, Richard M.; Goh, Michael</t>
  </si>
  <si>
    <t>2008-09086-009</t>
  </si>
  <si>
    <t>10.1037/1099-9809.14.3.246</t>
  </si>
  <si>
    <t>Acculturation; Immigration; Korean Cultural Groups; Social Support; Well Being; Adulthood (18 yrs &amp; older); Young Adulthood (18-29 yrs); Thirties (30-39 yrs); Middle Age (40-64 yrs); Aged (65 yrs &amp; older); Male; Female</t>
  </si>
  <si>
    <t>This study examined social connectedness in mainstream society as a mediator between acculturation and subjective well-being (SWB), and social connectedness in the ethnic community as a mediator between enculturation and SWB. Survey data from 188 Korean immigrants in the Midwest were subject to path analyses. Results partially supported the study hypotheses. Social connectedness in mainstream society tended to partially mediate the relationship between acculturation and SWB although the standardized mediating effect did not reach statistical significance. Social connectedness in the ethnic community fully mediated the relationship between enculturation and SWB. About 49% of the variance in SWB was explained by acculturation, social connectedness in the ethnic community, and social connectedness in mainstream society, in a descending order of their unique contribution. Implications for theory, research, and practice are discussed. (PsycINFO Database Record (c) 2016 APA, all rights reserved)</t>
  </si>
  <si>
    <t>http://search.ebscohost.com.proxy-ub.rug.nl/login.aspx?direct=true&amp;db=psyh&amp;AN=2008-09086-009&amp;site=ehost-live&amp;scope=site</t>
  </si>
  <si>
    <t>Acculturation, socio-economic assimilation, and health among Asian Americans.</t>
  </si>
  <si>
    <t>Morooka, Hideki</t>
  </si>
  <si>
    <t>4-A</t>
  </si>
  <si>
    <t>2008-99190-484</t>
  </si>
  <si>
    <t>Acculturation; Asians; Health; Socioeconomic Status</t>
  </si>
  <si>
    <t>This dissertation research examines occupational attainment and health conditions among Asian Americans. It is well established that Asian Americans are fairly represented in professional occupations due to their educational attainment. However, Asian Americans are less represented in managerial positions. The mechanisms for this are not well understood. Similar to the high occupational attainment, Asian Americans are also one of the groups that have the best health outcomes. I argue that the evidence of positive health of Asian Americans is a result of the high percentage (70%) of foreign-born population and their decision to continue the lifestyle practices and cultural beliefs from their country of origin. As immigrants adapt to the American lifestyle, an 'Americanization' appears after a period of time to some extent, and occupational disparities and health advantages should gradually diminish. Specifically the major research questions are: (1) how do the immigrant generation and Asian ethnicity matter and what kind of factors affect the attainment of managerial occupations; and (2) how does acculturation into American society affect Asian Americans in chronic conditions and the risk factors such as obesity, cigarette smoking, physical inactivity, and heavy alcohol consumption by their immigrant generation and the length of residence in the United States. This dissertation research takes advantage of rich data from the 2000 U.S. Census and the National Health Interview Survey for Years 2000-2005. The most recent datasets hold sufficient sample size of native-born Asian Americans and provide the researcher a unique opportunity to capture intergenerational trends by categorizing immigrant generation into three groups: (1) the first-generation; (2) the 1.5-generation, and (3) the native-born Asian Americans. In light of evidence that there is a substantial heterogeneity among Asian Americans, distinguish Asian ethnicities to the extent possible. The findings suggest that (1) Asian Americans show higher levels of occupational attainment in both managerial and professional positions as immigrant generation progresses, and that (2) health advantages diminish as Asian Americans remain in the United States for a longer period of time and get acculturated. (PsycINFO Database Record (c) 2016 APA, all rights reserved)</t>
  </si>
  <si>
    <t>http://search.ebscohost.com.proxy-ub.rug.nl/login.aspx?direct=true&amp;db=psyh&amp;AN=2008-99190-484&amp;site=ehost-live&amp;scope=site</t>
  </si>
  <si>
    <t>Acculturation, transnational ties, and depressive symptoms in vietnamese immigrants.</t>
  </si>
  <si>
    <t>Nguyen, Xuan Vu</t>
  </si>
  <si>
    <t>2016-99020-148</t>
  </si>
  <si>
    <t>Acculturation; Immigration; Vietnamese Cultural Groups; Ethnic Identity; Major Depression; South Asian Cultural Groups; Symptoms; Latinos/Latinas</t>
  </si>
  <si>
    <t>This study explores the relationships between acculturation, transnational ties, and depressive symptoms in a community sample of Vietnamese immigrants and descendants. Research indicates that immigration-related factors such as acculturation (Berry, 1980; Suinn, 2010) and transnational ties (Murphy &amp; Mahalingam, 2004) are important in understanding elevated depressive symptoms in Vietnamese immigrants (Leung, Cheung, &amp; Cheung, 2010) and other immigrant populations. Empirical research, however, has yet to examine acculturation, transnational ties, and depressive symptoms concomitantly. To fill this gap, the current study employed both a mediation and a moderation framework to separately examine whether transnational ties mediated or moderated the relationships between dimensions of acculturation and depressive symptoms. The sample comprised of pilot study (N = 37) and dissertation study (N = 107) participants who were recruited through convenience and snowball sampling in the Southwest and Midwest regions of the United States. Participants completed surveys comprised of demographic information, the Asian American Multidimensional Acculturation Scale (AAMAS; Chung, Kim, &amp; Abreu, 2004), the Transnationalism Scale (TS; Murphy &amp; Mahalingam, 2004), and the Center for Epidemiological Study of Depression scale (CES-D; Radloff, 1977). No mediation effects were found for transnational ties as a mediator between the associations of acculturation dimensions with depressive symptoms. Significant moderation effects were found for the Financial and Commercial Ties aspect of transnational ties in moderating the relationship between acculturation to the Vietnamese culture and depressive symptoms. As acculturation to the Vietnamese culture increased, levels of depressive symptoms decreased, and the decrease in depressive symptoms was more pronounced for Vietnamese immigrants who reported higher levels of Financial and Commercial Ties compared to those who reported lower levels. When acculturation to the Vietnamese culture was high, participants with high Financial and Commercial Ties had lower depressive symptoms than those with the same level of acculturation but engaged in low Financial and Commercial Ties. However, for participants with low identification with the Vietnamese culture but engaged in high Financial and Commercial Ties, their depressive symptoms were higher than those with the same low identification with the Vietnamese culture but engaged in low Financial and Commercial Ties. (PsycINFO Database Record (c) 2016 APA, all rights reserved)</t>
  </si>
  <si>
    <t>http://search.ebscohost.com.proxy-ub.rug.nl/login.aspx?direct=true&amp;db=psyh&amp;AN=2016-99020-148&amp;site=ehost-live&amp;scope=site</t>
  </si>
  <si>
    <t>Acculturation-related predictors of very light smoking among Latinos in California and nationwide.</t>
  </si>
  <si>
    <t>Rodriquez, Erik J.; Stoecklin-Marois, Maria T.; Hennessy-Burt, Tamara E.; Tancredi, Daniel J.; Schenker, Marc B.</t>
  </si>
  <si>
    <t>2015-03352-024</t>
  </si>
  <si>
    <t>10.1007/s10903-013-9896-3</t>
  </si>
  <si>
    <t>Acculturation; Tobacco Smoking; Latinos/Latinas; Nicotine; Population; Adulthood (18 yrs &amp; older); Male; Female</t>
  </si>
  <si>
    <t>The prevalence of light smoking has increased among Latinos. The purpose of this study was to identify demographic and acculturation-related factors associated with very light smoking, defined as smoking 1–5 cigarettes per day (CPD), among Latinos in California and nationwide. Latino smokers in the 2007–2008 National Health and Nutrition Examination Survey (NHANES) or the 2009 California Health Interview Survey (CHIS) were analyzed. Logistic regression assessed factors associated with very light smoking. Among NHANES smokers, those born in Mexico or who lived fewer years in the US were more likely to be very light smokers than 6+ CPD smokers. Among CHIS smokers, those born in Mexico, in another Spanish speaking country, or who spent smaller percentages of their life in the US were more likely to be very light smokers. Findings from this study can be used to design tobacco control media campaigns that include very light smokers. (PsycINFO Database Record (c) 2016 APA, all rights reserved)</t>
  </si>
  <si>
    <t>http://search.ebscohost.com.proxy-ub.rug.nl/login.aspx?direct=true&amp;db=psyh&amp;AN=2015-03352-024&amp;site=ehost-live&amp;scope=site</t>
  </si>
  <si>
    <t>Acculturative and neighborhood influences on subjective social status among Spanish-speaking Latino immigrant smokers.</t>
  </si>
  <si>
    <t>Reitzel, Lorraine R.; Mazas, Carlos A.; Cofta-Woerpel, Ludmila; Vidrine, Jennifer I.; Businelle, Michael S.; Kendzor, Darla E.; Li, Yisheng; Cao, Yumei; Wetter, David W.</t>
  </si>
  <si>
    <t>2010-02615-007</t>
  </si>
  <si>
    <t>10.1016/j.socscimed.2009.11.024</t>
  </si>
  <si>
    <t>Minority Groups; Neighborhoods; Socioeconomic Status; Tobacco Smoking; Latinos/Latinas; Acculturation; Education; Immigration; Income (Economic); Status; Social Status; Adulthood (18 yrs &amp; older); Thirties (30-39 yrs); Middle Age (40-64 yrs); Male; Female</t>
  </si>
  <si>
    <t>Subjective social status (SSS) reflects an individual's perception of her/his relative position in the social hierarchy. However, little is known about culturally-relevant, multilevel predictors of low SSS among low socioeconomic status (SES), minority populations. The goal of this study was to identify individual- and neighborhood-level variables predicting SSS among 297 Spanish-speaking Latino immigrant smokers living in several locations in Texas, with an emphasis on the association of SSS with acculturative and socioeconomic variables. Participants were recruited and enrolled through the National Cancer Institute's Cancer Information Service from August 2002 to March 2004. Determinants of SSS were explored using a series of linear regressions. In analyses adjusting for demographics (including objective indicators of SES), speaking Spanish at home and work and living in economically disadvantaged neighborhoods, respectively, were associated with low SSS. However, in analyses including demographics, acculturation, and neighborhood characteristics, only income, education, and acculturation remained associated with SSS. Consistent with results from a previous study in the area (Franzini &amp; Fernandez-Esquer, 2006), less acculturation predicted low SSS among immigrant Latino smokers. However, unlike previous research, these associations were maintained after controlling for SES. Results suggest that the density of less acculturated Latinos within economically deprived neighborhoods might account for the disappearance of neighborhood effects in the final model. (PsycINFO Database Record (c) 2019 APA, all rights reserved)</t>
  </si>
  <si>
    <t>http://search.ebscohost.com.proxy-ub.rug.nl/login.aspx?direct=true&amp;db=psyh&amp;AN=2010-02615-007&amp;site=ehost-live&amp;scope=site</t>
  </si>
  <si>
    <t>Acculturative Distress Among Hispanics: The Role of Acculturation, Coping, and Intercultural Competence.</t>
  </si>
  <si>
    <t>Torres, Lucas; Rollock, David</t>
  </si>
  <si>
    <t>Journal of Multicultural Counseling and Development</t>
  </si>
  <si>
    <t>2004-16941-003</t>
  </si>
  <si>
    <t>10.1002/j.2161-1912.2004.tb00368.x</t>
  </si>
  <si>
    <t>American Counseling Assn</t>
  </si>
  <si>
    <t>Acculturation; Coping Behavior; Distress; Social Skills; Latinos/Latinas; Immigration; Adulthood (18 yrs &amp; older); Young Adulthood (18-29 yrs); Thirties (30-39 yrs); Middle Age (40-64 yrs); Male; Female</t>
  </si>
  <si>
    <t>Among 96 Hispanic adults, mostly recent immigrants responding in Spanish, intercultural competence contributed to variance in acculturative distress beyond that already accounted for by general coping, acculturation, and sociodemographic variables. Intercultural competence best predicted acculturative distress. Findings suggest that Hispanics with a low sense of intercultural and intracultural proficiency may experience increased stress. (PsycINFO Database Record (c) 2016 APA, all rights reserved)</t>
  </si>
  <si>
    <t>http://search.ebscohost.com.proxy-ub.rug.nl/login.aspx?direct=true&amp;db=psyh&amp;AN=2004-16941-003&amp;site=ehost-live&amp;scope=site</t>
  </si>
  <si>
    <t>Acculturative distress in Greek immigrant adolescents.</t>
  </si>
  <si>
    <t>Adonis, Marios N.</t>
  </si>
  <si>
    <t>2009-99160-157</t>
  </si>
  <si>
    <t>Acculturation; Blood Pressure; Distress; Immigration; Major Depression; Adolescent Development; Anxiety; Emotional Disturbances; Adolescence (13-17 yrs); Adulthood (18 yrs &amp; older); Male; Female</t>
  </si>
  <si>
    <t>The current study examines emotional distress directly linked to acculturation, the change that occurs in a culture or person when two autonomous cultural groups come into contact, usually due to immigration. It is hypothesized that this emotional distress that arises from acculturation is responsible for much of the negative effects of acculturation on the physical and emotional well-being of acculturating individuals, termed acculturative distress. The current study investigates the effects of acculturative distress on ambulatory blood pressure, depression, and anxiety. Eighty Greek immigrant adolescents ranging in age from 14 to 18 years (mean=15.4 years; 60% female, 17.5% 1st generation, 60% 2 nd generation, and 12.5% 3rd generation immigrants) were recruited from a Greek American high school in Astoria, NY. Participants were asked to complete a series of questionnaires, which assessed acculturation, acculturative distress, depression, anxiety, socioeconomic status, and social support. On a separate day, ambulatory blood pressure was assessed during the school day. Boys were found to have significantly higher systolic and diastolic blood pressure (BP) at baseline and during the ambulatory phase, higher body mass index (BMI) and waist-hip ratio; the girls' scores were higher for depression, anxiety, tangible support, and appraisal support. Acculturative distress was predictive of depression and anxiety levels, and it was found to be mediated by tangible support. First generation immigrant adolescents had higher systolic BP for the duration of the study than 2nd generation immigrant adolescents, and 1st and 2nd generation immigrant adolescents had higher heart rate under distress than 3rd generation immigrant adolescents. Personal acculturative distress was predictive of ambulatory heart rate under distress before controlling for age, sex, waist-hip ratio, BMI, and activity. In the current study, acculturative distress did not have an effect on ambulatory BP of Greek immigrant adolescents. It has been shown, however, that acculturative distress has a strong impact on the psychological well-being of the participants through increased symptoms of depression and anxiety. These findings were found to be mediated by the perceived tangible support. Boys were also found to have higher systolic and diastolic BP than girls, while girls reported higher levels of psychological distress than boys. (PsycINFO Database Record (c) 2016 APA, all rights reserved)</t>
  </si>
  <si>
    <t>http://search.ebscohost.com.proxy-ub.rug.nl/login.aspx?direct=true&amp;db=psyh&amp;AN=2009-99160-157&amp;site=ehost-live&amp;scope=site</t>
  </si>
  <si>
    <t>Acculturative stress and coping among Korean immigrant elders residing in non-Korean ethnic enclaves.</t>
  </si>
  <si>
    <t>Rhee, Stephanie L.</t>
  </si>
  <si>
    <t>International Social Work</t>
  </si>
  <si>
    <t>2019-14448-012</t>
  </si>
  <si>
    <t>10.1177/0020872817741183</t>
  </si>
  <si>
    <t>Aging; Coping Behavior; Immigration; Social Support; Stress; Acculturation; Major Depression; Adulthood (18 yrs &amp; older); Middle Age (40-64 yrs); Aged (65 yrs &amp; older); Very Old (85 yrs &amp; older); Male; Female</t>
  </si>
  <si>
    <t>Few studies that have been conducted on Korean immigrant elders have been carried out in areas without Korean ethnic enclaves due to their small numbers and proportion. This nonprobability cross-sectional study utilized a structured survey to examine the relationships of acculturative stress, coping, and depressive symptoms among 108 non-institutionalized Korean immigrant elders residing in areas without Korean ethnic enclaves. Multivariate analysis results indicated that acculturative stress might be the most significant risk factor for depressive symptoms, which could decrease coping efficacy of social support and increase somatic symptoms of Korean immigrant elders residing in non-Korean ethnic enclaves. Implications for future research, practice, and policy are discussed. (PsycINFO Database Record (c) 2019 APA, all rights reserved)</t>
  </si>
  <si>
    <t>http://search.ebscohost.com.proxy-ub.rug.nl/login.aspx?direct=true&amp;db=psyh&amp;AN=2019-14448-012&amp;site=ehost-live&amp;scope=site</t>
  </si>
  <si>
    <t>Acculturative stress and depression in an elderly Arabic sample.</t>
  </si>
  <si>
    <t>Wrobel, Nancy Howells; Farrag, Mohamed F.; Hymes, Robert W.</t>
  </si>
  <si>
    <t>Journal of Cross-Cultural Gerontology</t>
  </si>
  <si>
    <t>2009-13130-005</t>
  </si>
  <si>
    <t>10.1007/s10823-009-9096-8</t>
  </si>
  <si>
    <t>Acculturation; Aging; Immigration; Major Depression; Stress; Demographic Characteristics; Adulthood (18 yrs &amp; older); Middle Age (40-64 yrs); Aged (65 yrs &amp; older); Very Old (85 yrs &amp; older); Male; Female</t>
  </si>
  <si>
    <t>Acculturative stress and relevant demographic variables, including immigration status, English skills, level of education, age, gender, country of origin, and years since immigration to the U. S. are examined along with their relationship to depressive symptoms. The 200 Arab-American and recent Arab immigrant participants ranged from age 60–92 and represented eight countries of origin. Most had limited fluency in English. Arabic versions of the Multi-dimensional Acculturative Stress Inventory (MASI) and Geriatric Depression Scale were administered. MASI and GDS results indicated greater degrees of acculturative stress and depression for those with a refugee or temporary resident status. More recent entry into the U.S. also predicted greater stress, while greater levels of education and English skills predicted lower levels of stress and depression. Composite stress levels and the nature of stress varied by country of origin. Although demographic variables were predictive of depression when examined separately, multiple regression analyses revealed that perceived acculturative stress, particularly pressure to learn English, provided a notable increment in prediction of depression over the demographic variables. (PsycINFO Database Record (c) 2016 APA, all rights reserved)</t>
  </si>
  <si>
    <t>http://search.ebscohost.com.proxy-ub.rug.nl/login.aspx?direct=true&amp;db=psyh&amp;AN=2009-13130-005&amp;site=ehost-live&amp;scope=site</t>
  </si>
  <si>
    <t>Acculturative stress and depressive symptoms among Asian immigrants in the United States: The roles of social support and negative interaction.</t>
  </si>
  <si>
    <t>Xu, Ling; Chi, Iris</t>
  </si>
  <si>
    <t>Asian American Journal of Psychology</t>
  </si>
  <si>
    <t>2012-29071-001</t>
  </si>
  <si>
    <t>10.1037/a0030167</t>
  </si>
  <si>
    <t>Immigration; Interpersonal Interaction; Major Depression; Social Support; Stress; Asians; Adulthood (18 yrs &amp; older); Male; Female</t>
  </si>
  <si>
    <t>Immigration is a stressful experience. Social support from and negative interaction with relatives or friends play important roles in the health and well-being of immigrants. Data for this study came from the National Latino and Asian American Study, the first nationally representative household epidemiological survey of its kind (n = 1,639). Hierarchical regression models and structural equation modeling were used to test the direct, moderating, and mediating functions of social support and negative interaction on the effect of acculturative stress on depressive symptoms among Asian immigrants. The findings indicate that acculturative stress was significantly associated with depressive symptoms after controlling other variables. Social support had a direct beneficial effect and negative interaction had a direct harmful impact on depressive symptoms among Asian immigrants. In addition, negative interaction moderated and social support partially mediated the effect of acculturative stress on depressive symptoms. This finding suggests that Asian immigrants in the United States are vulnerable to psychological distress in the form of depressive symptoms while adjusting to a new culture. (PsycInfo Database Record (c) 2020 APA, all rights reserved)</t>
  </si>
  <si>
    <t>http://search.ebscohost.com.proxy-ub.rug.nl/login.aspx?direct=true&amp;db=psyh&amp;AN=2012-29071-001&amp;site=ehost-live&amp;scope=site</t>
  </si>
  <si>
    <t>Acculturative stress and depressive symptoms among Korean immigrant elders residing in non-Korean ethnic enclaves.</t>
  </si>
  <si>
    <t>12-A(E)</t>
  </si>
  <si>
    <t>2015-99110-073</t>
  </si>
  <si>
    <t>Immigration; Major Depression; Stress; Marginalization; Latinos/Latinas; Coping Behavior; Risk Factors; Adulthood (18 yrs &amp; older)</t>
  </si>
  <si>
    <t>Few studies have examined the relationships among personal factors, acculturative stress, coping resources, and depression of Korean immigrant elders residing in areas without any Korean ethnic enclave. Based on the stress and coping model and the sociocultural model of stress, coping, and adaptation, this cross-sectional study examined the relationships among acculturative stress, coping, and depression in 111 non-institutionalized Korean immigrant elders aged 60 and older residing in areas without any Korean ethnic enclaves in three neighboring states of Southwestern Ohio, North Central Region of Kentucky, and Southern Indiana. A majority of convenience and snowball sample participated in self-administered mailed surveys, and a remaining few used phone surveys and personal interviews. Multiple regression analyses indicate that social support is the strongest predictor of depression, followed by somatization and acculturative stress. Principal component analysis indicates that the participants appraised limited English proficiency as the most stressful aspect of acculturative stress. Path analyses further reveal that acculturative stress had the largest total effect on depression and partially mediated the effect of the level of acculturation on depression. The results also show that social support had the large direct effect on depression and partially mediated the effect of acculturative stress on depression. Unexpectedly, religiosity was not a predictor of depression and did not have any effect on depression. Interestingly, somatization had the positive direct effect on depression. This study suggests that the level of acculturation, socioeconomic status and social support may influence acculturative stress and depression negatively; however, acculturative stress is the most significant risk factor for depression among the participants, decreasing coping efficacy of social support and increasing somatic symptoms. Implications for future research and practice are examined on social support from family and friends and on acculturative stress. It seems that culturally relevant programs and services are important vehicles through which to enhance personal resources and social support and reduce lingual and cultural barriers among Korean immigrant elders residing in areas without any Korean ethnic enclave. (PsycINFO Database Record (c) 2016 APA, all rights reserved)</t>
  </si>
  <si>
    <t>http://search.ebscohost.com.proxy-ub.rug.nl/login.aspx?direct=true&amp;db=psyh&amp;AN=2015-99110-073&amp;site=ehost-live&amp;scope=site</t>
  </si>
  <si>
    <t>Journal of Ethnic &amp; Cultural Diversity in Social Work: Innovation in Theory, Research &amp; Practice</t>
  </si>
  <si>
    <t>2017-55844-006</t>
  </si>
  <si>
    <t>10.1080/15313204.2016.1242101</t>
  </si>
  <si>
    <t>Aging; Depression (Emotion); Immigration; Stress; Acculturation; Symptoms; Adulthood (18 yrs &amp; older); Middle Age (40-64 yrs); Aged (65 yrs &amp; older); Very Old (85 yrs &amp; older); Male; Female</t>
  </si>
  <si>
    <t>This cross-sectional structured survey examined the relationships of personal factors, acculturative stress, and depressive symptoms among Korean immigrant elders (N = 108) residing in areas without any Korean ethnic enclave. Multiple regression and path analyses indicated that personal factors such as levels of acculturation and socioeconomic status might influence acculturative stress and depressive symptoms negatively; however, acculturative stress was the most significant risk factor for depressive symptoms. Culturally relevant programs and services are important vehicles through which to enhance personal resources and reduce lingual and cultural barriers among Korean immigrant elders residing in non-Korean ethnic enclaves. (PsycINFO Database Record (c) 2018 APA, all rights reserved)</t>
  </si>
  <si>
    <t>http://search.ebscohost.com.proxy-ub.rug.nl/login.aspx?direct=true&amp;db=psyh&amp;AN=2017-55844-006&amp;site=ehost-live&amp;scope=site</t>
  </si>
  <si>
    <t>Acculturative stress and diminishing family cohesion among recent Latino immigrants.</t>
  </si>
  <si>
    <t>Dillon, Frank R.; De La Rosa, Mario; Ibañez, Gladys E.</t>
  </si>
  <si>
    <t>2013-14543-005</t>
  </si>
  <si>
    <t>10.1007/s10903-012-9678-3</t>
  </si>
  <si>
    <t>Acculturation; Family Relations; Immigration; Psychological Stress; Latinos/Latinas; Adulthood (18 yrs &amp; older); Young Adulthood (18-29 yrs); Thirties (30-39 yrs); Male; Female</t>
  </si>
  <si>
    <t>This study investigates a theorized link between Latino immigrants’ experience of acculturative stress during their two initial years in the United States (US) and declines in family cohesion from pre- to post-immigration contexts. This retrospective cohort study included 405 adult participants. Baseline assessment occurred during participants’ first 12 months in the US. Follow-up assessment occurred during participants’ second year in the US. General linear mixed models were used to estimate change in family cohesion and sociocultural correlates of this change. Inverse associations were determined between acculturative stress during initial years in the US and declines in family cohesion from pre-immigration to post-immigration contexts. Participants with undocumented immigration status, those with lower education levels, and those without family in the US generally indicated lower family cohesion. Participants who experienced more acculturative stress and those without family in the US evidenced a greater decline in family cohesion. Results are promising in terms of implications for health services for recent Latino immigrants. (PsycINFO Database Record (c) 2016 APA, all rights reserved)</t>
  </si>
  <si>
    <t>http://search.ebscohost.com.proxy-ub.rug.nl/login.aspx?direct=true&amp;db=psyh&amp;AN=2013-14543-005&amp;site=ehost-live&amp;scope=site</t>
  </si>
  <si>
    <t>Acculturative stress and gang involvement among Latinos: U.S.-born versus immigrant youth.</t>
  </si>
  <si>
    <t>Barrett, Alice N.; Kuperminc, Gabriel P.; Lewis, Kelly M.</t>
  </si>
  <si>
    <t>2013-26122-005</t>
  </si>
  <si>
    <t>10.1177/0739986313488086</t>
  </si>
  <si>
    <t>Juvenile Delinquency; Juvenile Gangs; Stress; Acculturation; Immigration; Involvement; Latinos/Latinas; Childhood (birth-12 yrs); School Age (6-12 yrs); Adolescence (13-17 yrs); Male; Female</t>
  </si>
  <si>
    <t>Gang involvement is an increasing issue among Latino youth, yet nuanced research on its potential causes is scarce. Quantitative and qualitative data were used to explore links between acculturative stress and gang involvement among immigrant and U.S.-born Latino middle school students (N = 199). Regression analyses showed that U.S.-born youths were more likely to be gang-involved if they experienced discrimination stress, but less likely to be gang-involved if experiencing adaptation stress. Neither form of stress predicted gang involvement among immigrant youth; however, several reported economic inequality as a difference between themselves and Americans. Those reporting inequality were more likely to be gang-involved than those who did not. These findings suggest gang involvement may work differently for U.S.-born and immigrant Latinos. (PsycINFO Database Record (c) 2016 APA, all rights reserved)</t>
  </si>
  <si>
    <t>http://search.ebscohost.com.proxy-ub.rug.nl/login.aspx?direct=true&amp;db=psyh&amp;AN=2013-26122-005&amp;site=ehost-live&amp;scope=site</t>
  </si>
  <si>
    <t>Acculturative stress and inflammation among Chinese immigrant women.</t>
  </si>
  <si>
    <t>Fang, Carolyn Y.; Ross, Eric A.; Pathak, Harsh B.; Godwin, Andrew K.; Tseng, Marilyn</t>
  </si>
  <si>
    <t>Psychosomatic Medicine</t>
  </si>
  <si>
    <t>2014-26583-002</t>
  </si>
  <si>
    <t>10.1097/PSY.0000000000000065</t>
  </si>
  <si>
    <t>Acculturation; Biological Markers; Immigration; Inflammation; Stress; Adulthood (18 yrs &amp; older); Male; Female</t>
  </si>
  <si>
    <t>Among Chinese immigrant populations, increasing duration of US residence is associated with elevated risk for various chronic diseases. Although life-style changes after migration have been extensively studied in immigrant populations, the psychosocial impact of acculturative stress on biological markers of health is less understood. Thus, the purpose of the present study is to examine associations between acculturative stress and inflammatory markers in a Chinese immigrant population. Methods: Study participants (n = 407 foreign-born Chinese American women) completed questionnaires assessing levels of stress, including acculturative stress and positive and negative life events in the previous year. Participant height and weight were measured using standard protocols, and blood samples were drawn for assessment of circulating serum levels of C-reactive protein (CRP) and soluble tumor necrosis factor receptor 2 (sTNFR2). Results: Higher levels of acculturative stress were significantly associated with higher levels of CRP (B = 0.07, 95% confidence interval = 0.01-0.13, p = .031) and sTNFR2 (B = 0.02, 95% confidence interval = 0.004-0.03, p = .012), adjusting for age and body mass index. The latter association was no longer statistically significant when overall acculturation (i.e., identification with American culture) was included in the model. Life events were not associated with CRP or sTNFR2. Conclusions: This is one of the first studies to demonstrate that acculturative stress is associated with inflammatory markers in a Chinese immigrant population. Replication in other immigrant samples is needed to fully establish the biological correlates and clinical consequences of acculturative stress. (PsycINFO Database Record (c) 2016 APA, all rights reserved)</t>
  </si>
  <si>
    <t>http://search.ebscohost.com.proxy-ub.rug.nl/login.aspx?direct=true&amp;db=psyh&amp;AN=2014-26583-002&amp;site=ehost-live&amp;scope=site</t>
  </si>
  <si>
    <t>Acculturative stress and mental health among Korean adolescents in the United States.</t>
  </si>
  <si>
    <t>Park, Wansoo</t>
  </si>
  <si>
    <t>2010-11323-010</t>
  </si>
  <si>
    <t>10.1080/10911350902910542</t>
  </si>
  <si>
    <t>Acculturation; Adolescent Development; Korean Cultural Groups; Mental Health; Stress; Family; Immigration; Childhood (birth-12 yrs); School Age (6-12 yrs); Adolescence (13-17 yrs); Adulthood (18 yrs &amp; older); Young Adulthood (18-29 yrs); Male; Female</t>
  </si>
  <si>
    <t>This study investigated Korean-American adolescents' stress related to their acculturation experiences and mental health. A total of 260 Korean-American adolescents from immigrant families (ages 12-18 years) participated in the study. The U.S. born group had a higher level of acculturative stress than the Korea-born group (t = 2.222; df = 258; p &lt; .05). Males reported a higher level of self-esteem than females (t = -2.112; df = 257; p &lt; .05). Acculturative stress was positively correlated with depression (r = .299; p &lt; .01) and negatively related to self-esteem (r = -.292; p &lt; .01). Self-esteem was negatively related to depression (r = -.536; p &lt; .01). (PsycINFO Database Record (c) 2016 APA, all rights reserved)</t>
  </si>
  <si>
    <t>http://search.ebscohost.com.proxy-ub.rug.nl/login.aspx?direct=true&amp;db=psyh&amp;AN=2010-11323-010&amp;site=ehost-live&amp;scope=site</t>
  </si>
  <si>
    <t>Acculturative stress and school belonging among Latino youth.</t>
  </si>
  <si>
    <t>Roche, Cathy; Kuperminc, Gabriel P.</t>
  </si>
  <si>
    <t>2012-02434-004</t>
  </si>
  <si>
    <t>10.1177/0739986311430084</t>
  </si>
  <si>
    <t>Academic Achievement; Acculturation; Immigration; Stress; Latinos/Latinas; Student Engagement; Belonging; Childhood (birth-12 yrs); School Age (6-12 yrs); Adolescence (13-17 yrs); Male; Female</t>
  </si>
  <si>
    <t>Dimensions of acculturative stress and their implications for school belonging and achievement were examined among 199 Latino middle-school students. The proposed model hypothesized that school belonging would mediate the association between acculturative stress dimensions and low school achievement. Eighty percent youth of the sample were immigrants, 73% had Mexican origins, 57% were girls, and the mean age of the participants was 13.6 years. A factor analysis yielded two dimensions of acculturative stress: discrimination stress and immigration-related stress. Immigration-related stress was associated with age of immigration, but discrimination stress was not. Findings supported the hypothesis that lack of school belonging may be a mechanism by which discrimination stress, but not immigration-related stress, decreases school performance among Latino youth. (PsycINFO Database Record (c) 2016 APA, all rights reserved)</t>
  </si>
  <si>
    <t>http://search.ebscohost.com.proxy-ub.rug.nl/login.aspx?direct=true&amp;db=psyh&amp;AN=2012-02434-004&amp;site=ehost-live&amp;scope=site</t>
  </si>
  <si>
    <t>Acculturative stress as a risk factor of depression and anxiety in the Latin American immigrant population.</t>
  </si>
  <si>
    <t>Revollo, Hilda-Wara; Qureshi, Adil; Collazos, Francisco; Valero, Sergi; Casas, Miguel</t>
  </si>
  <si>
    <t>International Review of Psychiatry</t>
  </si>
  <si>
    <t>2011-03780-013</t>
  </si>
  <si>
    <t>10.3109/09540261.2010.545988</t>
  </si>
  <si>
    <t>Informa Healthcare</t>
  </si>
  <si>
    <t>Acculturation; Anxiety; Major Depression; Primary Health Care; Risk Factors; Immigration; Patients; Adulthood (18 yrs &amp; older); Young Adulthood (18-29 yrs); Thirties (30-39 yrs); Middle Age (40-64 yrs); Aged (65 yrs &amp; older); Male; Female</t>
  </si>
  <si>
    <t>This study explores acculturative stress as a risk factor for depressive and anxiety disorders as well as their symptomatology. It is hypothesized that perceived discrimination and general psychosocial stress will show the greatest association with psychopathology. The sample consists of 414 Latin American immigrant primary care patients in Barcelona. The instruments used are: the Barcelona Immigration Stress Scale (BISS) to evaluate acculturative stress, the Goldberg Anxiety and Depression Scale (GADS) for anxiety and depression symptoms, the Mini International Neurological Interview (MINI), a semi-structured interview, to detect psychiatric pathology, and a questionnaire for sociodemographic and attitudinal characteristics. The most elevated levels of acculturative stress were observed in the factors homesickness and general psychosocial stress. Acculturative stress is associated with depression and anxiety. With the covariants controlled, intercultural contact stress and general psychosocial stress maintain the relationship. Acculturative stress constitutes a risk factor for both depression and anxiety. General psychosocial stress and intercultural contact stress are related to psychopathology. Perceived discrimination and homesickness are not associated with psychopathology in the Spanish context, suggesting that cultural congruity plays a key role in the relationship between immigration and mental health. (PsycINFO Database Record (c) 2016 APA, all rights reserved)</t>
  </si>
  <si>
    <t>http://search.ebscohost.com.proxy-ub.rug.nl/login.aspx?direct=true&amp;db=psyh&amp;AN=2011-03780-013&amp;site=ehost-live&amp;scope=site</t>
  </si>
  <si>
    <t>Acculturative stress in Latin-American immigrants: An assessment proposal.</t>
  </si>
  <si>
    <t>Hernandez, Jose Antonio Ruiz; Hernandez, Ginesa Torrente; Gonzalez, Angel Rodriguez; de la Fe, Maria del Carmen Ramirez</t>
  </si>
  <si>
    <t>The Spanish Journal of Psychology</t>
  </si>
  <si>
    <t>2011-09495-020</t>
  </si>
  <si>
    <t>10.5209/rev_SJOP.2011.v14.n1.20</t>
  </si>
  <si>
    <t>Universidad Complutense de Madrid</t>
  </si>
  <si>
    <t>Acculturation; Immigration; Psychometrics; Stress; Test Reliability; Adulthood (18 yrs &amp; older); Young Adulthood (18-29 yrs); Thirties (30-39 yrs); Middle Age (40-64 yrs); Male; Female</t>
  </si>
  <si>
    <t>The aim of this paper was to develop an instrument to assess levels of stress experienced by Latin- American immigrants in their acculturative process in Spain. A sample of 692 immigrants from Latin America, aged 20 to 63 years, took part on this study (54.9% males and 45.1% females). A 24-item questionnaire with high reliability (.92) was elaborated. Six factors related to acculturative stress were found: 1) discrimination and rejection; 2) differences with the out-group (native Spaniards); 3) citizenship problems and legality; 4) problems concerning social relationships with other immigrants; 5) nostalgia and longing; and 6) family break-up. Our findings show that participants have a high level of stress related to nostalgia and longing, family break-up, and the perception of discrimination and rejection by natives. The usefulness of the instrument and its applications and restrictions are discussed. (PsycINFO Database Record (c) 2016 APA, all rights reserved)</t>
  </si>
  <si>
    <t>http://search.ebscohost.com.proxy-ub.rug.nl/login.aspx?direct=true&amp;db=psyh&amp;AN=2011-09495-020&amp;site=ehost-live&amp;scope=site</t>
  </si>
  <si>
    <t>Acculturative stress is associated with trajectory of anxiety symptoms during pregnancy in Mexican-American women.</t>
  </si>
  <si>
    <t>Preciado, Andrea; D'Anna-Hernandez, Kimberly</t>
  </si>
  <si>
    <t>Journal of Anxiety Disorders</t>
  </si>
  <si>
    <t>2016-51667-001</t>
  </si>
  <si>
    <t>10.1016/j.janxdis.2016.10.005</t>
  </si>
  <si>
    <t>Anxiety; Human Females; Mexican Americans; Pregnancy; Stress; Acculturation; Immigration; Risk Factors; Symptoms; Adulthood (18 yrs &amp; older); Female</t>
  </si>
  <si>
    <t>Over half of pregnant women report anxiety symptoms and these symptoms may be precipitated by stressful experiences. Anxiety rates may be higher in Mexican-American women who experience sociocultural stressors, such as acculturation, acculturative stress and discrimination. However, the role of such stressors on the trajectory of anxiety symptoms across pregnancy is not yet known. Mexican-American women (n=151) completed surveys across pregnancy about acculturation, acculturative stress, perceived discrimination, and state anxiety. Multilevel modeling found that acculturation (Anglo orientation, b =0.050, SE =0.379, t (137.561)=0.134, p =0.894; Mexican orientation, b =0.775, SE =0.692, t (133.424)=1.121, p =0.264) and perceived discrimination (b =−1.259, SE =0.921, t (137.489)=−1.367, p =0.174) were not associated with the trajectory of anxiety symptoms. However, acculturative stress, even while controlling for perceived stress, was associated with high levels of anxiety symptoms that were elevated early in pregnancy (b =−0.045, SE =0.022, t (135.749)=−2, p =0.047). This work highlights the unique role of acculturative stress in risk for prenatal anxiety in early pregnancy. (PsycINFO Database Record (c) 2017 APA, all rights reserved)</t>
  </si>
  <si>
    <t>http://search.ebscohost.com.proxy-ub.rug.nl/login.aspx?direct=true&amp;db=psyh&amp;AN=2016-51667-001&amp;site=ehost-live&amp;scope=site</t>
  </si>
  <si>
    <t>Acculturative stress, social problem solving, and depressive symptoms among Korean American immigrants.</t>
  </si>
  <si>
    <t>Lee, Minsun; Nezu, Arthur M.; Nezu, Christine Maguth</t>
  </si>
  <si>
    <t>2018-47447-007</t>
  </si>
  <si>
    <t>10.1177/1363461518792734</t>
  </si>
  <si>
    <t>Acculturation; Immigration; Korean Cultural Groups; Major Depression; Stress; Problem Solving; Symptoms; Adulthood (18 yrs &amp; older); Male; Female</t>
  </si>
  <si>
    <t>The present study examined the relationship among acculturative stress, social problem solving, and depressive symptoms among 107 Korean American immigrants. Hierarchical regression analysis showed that acculturative stress significantly predicted depressive symptoms controlling for different domains of acculturation. With regard to the role of social problem solving, among the five dimensions of social problem solving (i.e., positive problem orientation, negative problem orientation, rational problem solving, impulsive/careless style, and avoidant style), negative problem orientation and impulsive/careless style significantly predicted depressive symptoms. Avoidant style significantly interacted with acculturative stress, indicating that avoidant style is associated with depressive symptoms when acculturative stress is high. The study underscores the impact of culture as well as severity of stress on the relationship among acculturative stress, coping, and depressive symptoms among Korean American immigrants. (PsycINFO Database Record (c) 2018 APA, all rights reserved)</t>
  </si>
  <si>
    <t>http://search.ebscohost.com.proxy-ub.rug.nl/login.aspx?direct=true&amp;db=psyh&amp;AN=2018-47447-007&amp;site=ehost-live&amp;scope=site</t>
  </si>
  <si>
    <t>Active learning for active ageing: Chinese senior immigrants’ lifelong learning in Canada.</t>
  </si>
  <si>
    <t>Zhu, Yidan; Zhang, Weiguo</t>
  </si>
  <si>
    <t>Educational Gerontology</t>
  </si>
  <si>
    <t>2019-58611-002</t>
  </si>
  <si>
    <t>10.1080/03601277.2019.1662933</t>
  </si>
  <si>
    <t>Aging; Continuing Education; Immigration; Learning; Life Span; Chinese Cultural Groups; Policy Making; Social Integration; Test Construction; Adulthood (18 yrs &amp; older); Aged (65 yrs &amp; older); Male; Female</t>
  </si>
  <si>
    <t>This paper explores the intersection between migration, aging and lifelong learning with the aim of expanding our understanding of how lifelong learning enhances older migrants’ active aging in a foreign land. Our study also offers insights into the learning activities of older immigrants in general. In 2002, the World Health Organization (WHO) proposed a conceptual framework of active aging, which has greatly influenced aging policies and seniors’ everyday practices. Yet, there is a paucity of research that explicates and fully integrates lifelong learning into active aging discourse, and focuses on senior immigrants’ lifelong learning in an aging society. Based on interviews, textual materials, and participatory observation in five Chinese seniors’ immigrant associations in Toronto, we explore how Chinese senior immigrants’ learning has been (re)shaped and practised through re-settling in Canadian society. Five categories of learning are explored, including a) learning language and computer skills, b) learning culture and history, c) learning civic engagement, d) learning leisure, and e) learning health. We argue that ‘active learning’ can be used as a dynamic conceptual framework that interacts with active aging theory, demonstrating how senior immigrants actively participate in the lifelong learning project for participation and integration in Canada. This paper provides insights to the understanding of culturally sensitive policy-making on integration, health, and lifelong learning of older immigrants in Canada and beyond. (PsycInfo Database Record (c) 2020 APA, all rights reserved)</t>
  </si>
  <si>
    <t>http://search.ebscohost.com.proxy-ub.rug.nl/login.aspx?direct=true&amp;db=psyh&amp;AN=2019-58611-002&amp;site=ehost-live&amp;scope=site</t>
  </si>
  <si>
    <t>Adaptation of an acculturation scale for African refugee women.</t>
  </si>
  <si>
    <t>Johnson-Agbakwu, Crista E.; Flynn, Priscilla; Asiedu, Gladys B.; Hedberg, Eric; Breitkopf, Carmen Radecki</t>
  </si>
  <si>
    <t>2016-03030-030</t>
  </si>
  <si>
    <t>10.1007/s10903-014-9998-6</t>
  </si>
  <si>
    <t>Acculturation; African Cultural Groups; Refugees; Test Construction; Health Disparities; Foreign Language Translation; Human Females; Immigration; Sociocultural Factors; Test Reliability; Test Validity; Adulthood (18 yrs &amp; older); Female</t>
  </si>
  <si>
    <t>Newly-arrived African refugees are a vulnerable group of immigrants for whom no validated acculturation measures exist. A valid measurement tool is essential to understand how acculturative processes impact health and health disparities. We adapted the Bicultural Involvement Questionnaire (BIQ) to characterize its reliability among ethnic Somali women residing in Minnesota, and Somali, Somali Bantu, and Burundian women in Arizona. Surveys were administered to 164 adult women. Analyses were conducted along socio-demographic variables of ethnicity, geographic residence, age, and length of time in the United States through t tests and one-way analysis of variance. Exploratory factor analysis was conducted on the modified BIQ. Exploratory factor analyses yielded five subscales: 'Speak Native Language', 'Speak English Language', 'Enjoy Native Activities', 'Enjoy American Activities', and 'Desired Ideal Culture'. The subscales of the modified BIQ possessed Cronbach’s α ranging from 0.68 to 0.92, suggestive that all subscales had acceptable to excellent internal consistency. The modified BIQ maintained its psychometric properties across geographic regions of resettled Central and East African refugees. (PsycINFO Database Record (c) 2016 APA, all rights reserved)</t>
  </si>
  <si>
    <t>http://search.ebscohost.com.proxy-ub.rug.nl/login.aspx?direct=true&amp;db=psyh&amp;AN=2016-03030-030&amp;site=ehost-live&amp;scope=site</t>
  </si>
  <si>
    <t>Adaptation of the Measurement of Acculturation Strategies for People of African Decent (MASPAD) in measuring acculturation in British Nigerians.</t>
  </si>
  <si>
    <t>Onyigbuo, Chineme Christian; Alexis Garsee, Camille; van den Akker, Olga</t>
  </si>
  <si>
    <t>Mental Health, Religion &amp; Culture</t>
  </si>
  <si>
    <t>2018-20482-001</t>
  </si>
  <si>
    <t>10.1080/13674676.2018.1455650</t>
  </si>
  <si>
    <t>Acculturation; Health Care Psychology; Immigration; Psychometrics; Religion; Adulthood (18 yrs &amp; older); Young Adulthood (18-29 yrs); Thirties (30-39 yrs); Middle Age (40-64 yrs); Male; Female</t>
  </si>
  <si>
    <t>The MASPAD is a validated and reliable, self-reported scale developed in the USA for measuring acculturation in people of African descent. However, nothing is known about the scale’s suitability for measuring acculturation and religious beliefs/behaviours of people of African descent living in Europe. The present study measured the psychometric properties of the MASPAD among Nigerian immigrants in the UK. Principal component analysis revealed that all variables loaded substantially across six components for acculturation patterns and religious factors, which are: 'traditionalist behaviours', 'traditionalist beliefs', 'assimilationist behaviours', 'integrationist behaviours', 'religious beliefs', and 'religious behaviours'. Two new distinct subscales emerged from the adapted MASPAD for assessing religious beliefs and behaviours, which is characteristic of a multidimensional factor structure for acculturation scales. This study has provided important information on the need to develop appropriate measures for people of African descent, relative to their historical and cultural antecedents, as well as immigration contexts. (PsycINFO Database Record (c) 2019 APA, all rights reserved)</t>
  </si>
  <si>
    <t>http://search.ebscohost.com.proxy-ub.rug.nl/login.aspx?direct=true&amp;db=psyh&amp;AN=2018-20482-001&amp;site=ehost-live&amp;scope=site</t>
  </si>
  <si>
    <t>Adaptation of the Vancouver Index of Acculturation to Turkish and Arabic.</t>
  </si>
  <si>
    <t>Bozdağ, Faruk; Bilge, Filiz</t>
  </si>
  <si>
    <t>2020-94618-008</t>
  </si>
  <si>
    <t>10.1016/j.ijintrel.2020.11.002</t>
  </si>
  <si>
    <t>Acculturation; Human Migration; Psychometrics; Refugees; Society; Convergent Validity; Developmental Stages; Discriminant Validity; Foreign Language Translation; Test Construction; Childhood (birth-12 yrs); School Age (6-12 yrs); Adolescence (13-17 yrs); Adulthood (18 yrs &amp; older); Young Adulthood (18-29 yrs); Male; Female</t>
  </si>
  <si>
    <t>Researching the acculturation processes of Syrian refugee children in Turkey is essential in terms of the mental health of both the host society and the migrant community. To this end, this study adapts to the Turkish and Arabic languages the Vancouver Index of Acculturation (VIA), which has been developed as a bidimensional instrument assessing acculturation in the 11–18 age group. Data were collected from 957 Syrian refugee children as part of the present study. Analyses showed that the two-dimensional structure each consisting of 10 items and named identification with the heritage culture and identification with the mainstream culture in the original version was supported by both the Turkish version and Arabic version. In conclusion, construct, convergent and discriminant validity as well as composite and Cronbach’s Alpha reliability coefficient for the Turkish and Arabic forms of the 20-item VIA were determined to be sufficient. (PsycInfo Database Record (c) 2021 APA, all rights reserved)</t>
  </si>
  <si>
    <t>http://search.ebscohost.com.proxy-ub.rug.nl/login.aspx?direct=true&amp;db=psyh&amp;AN=2020-94618-008&amp;site=ehost-live&amp;scope=site</t>
  </si>
  <si>
    <t>Adapting culturally appropriate mental health screening tools for use among conflict-affected and other vulnerable adolescents in Nigeria.</t>
  </si>
  <si>
    <t>Kaiser, B. N.; Ticao, C.; Anoje, C.; Minto, J.; Boglosa, J.; Kohrt, B. A.</t>
  </si>
  <si>
    <t>Global Mental Health</t>
  </si>
  <si>
    <t>2019-31272-001</t>
  </si>
  <si>
    <t>10.1017/gmh.2019.8</t>
  </si>
  <si>
    <t>Conflict; Posttraumatic Stress Disorder; Refugees; Screening Tests; Cross Cultural Test Adaptation; Major Depression; Mental Health; Rating Scales; Emotional and Behavioral Disorders; Childhood (birth-12 yrs); School Age (6-12 yrs); Adolescence (13-17 yrs); Adulthood (18 yrs &amp; older); Young Adulthood (18-29 yrs); Male; Female</t>
  </si>
  <si>
    <t>Background: The Boko Haram insurgency has brought turmoil and instability to Nigeria, generating a large number of internally displaced people and adding to the country's 17.5 million orphans and vulnerable children. Recently, steps have been taken to improve the mental healthcare infrastructure in Nigeria, including revamping national policies and initiating training of primary care providers in mental healthcare. In order for these efforts to succeed, they require means for community-based detection and linkage to care. A major gap preventing such efforts is the shortage of culturally appropriate, valid screening tools for identifying emotional and behavioral disorders among adolescents. In particular, studies have not conducted simultaneous validation of screening tools in multiple languages, to support screening and detection efforts in linguistically diverse populations. We aim to culturally adapt screening tools for emotional and behavioral disorders for use among adolescents in Nigeria, in order to facilitate future validation studies. Methods: We used a rigorous mixed-method process to culturally adapt the Depression Self Rating Scale, Child PTSD Symptom Scale, and Disruptive Behavior Disorders Rating Scale. We employed expert translations, focus group discussions (N = 24), and piloting with cognitive interviewing (N = 24) to achieve semantic, content, technical, and criterion equivalence of screening tool items. Results: We identified and adapted items that were conceptually difficult for adolescents to understand, conceptually non-equivalent across languages, considered unacceptable to discuss, or stigmatizing. Findings regarding problematic items largely align with existing literature regarding cross-cultural adaptation. Conclusions: Culturally adapting screening tools represents a vital first step toward improving community case detection. (PsycInfo Database Record (c) 2020 APA, all rights reserved)</t>
  </si>
  <si>
    <t>http://search.ebscohost.com.proxy-ub.rug.nl/login.aspx?direct=true&amp;db=psyh&amp;AN=2019-31272-001&amp;site=ehost-live&amp;scope=site</t>
  </si>
  <si>
    <t>Adaption and coping among East African immigrants in North America.</t>
  </si>
  <si>
    <t>Okahaabwa, Gooreka</t>
  </si>
  <si>
    <t>2015-99020-501</t>
  </si>
  <si>
    <t>Coping Behavior; Cross Cultural Differences; Immigration; Faith; Adulthood (18 yrs &amp; older); Young Adulthood (18-29 yrs)</t>
  </si>
  <si>
    <t>Immigrants are faced with the challenge of adapting to a culture different from their own. Successful adaptation includes socio-cultural adaptation, psychological adjustment, and coping. This study investigated cross-cultural adaptation and coping among East African immigrants in North America. Participants in this study were 51 individuals of East African origin, over the age of 20 years, residing in North America and recruited through a snowballing procedure. Participants completed the Acculturation Index, Socio-Cultural Adaptation Scale, Center for Epidemiologic Studies Depression Scale, Ways of Coping Checklist (Revised), and a demographic questionnaire using Survey Monkey. Data analysis utilized SPSS. Independent-samples-t- tests and Pearson product-moment correlations were conducted. Results indicated no statistically significant difference in socio-cultural adaptation by: acculturation, coping, and migration with family. Additionally, there was no statistically significant difference in psychological adjustment by acculturation and participation in a faith community. Results revealed a positive correlation between psychological adjustment and socio-cultural adaptation and a statistically significant difference in socio-cultural adaptation by participation in faith community. Further research into adaptation and coping among East African immigrants is recommended. (PsycINFO Database Record (c) 2016 APA, all rights reserved)</t>
  </si>
  <si>
    <t>http://search.ebscohost.com.proxy-ub.rug.nl/login.aspx?direct=true&amp;db=psyh&amp;AN=2015-99020-501&amp;site=ehost-live&amp;scope=site</t>
  </si>
  <si>
    <t>Adolescents with Turkish background in Norway and Sweden: A comparative study of their psychological adaptation.</t>
  </si>
  <si>
    <t>Virta, Erkki; Sam, David L.; Westin, Charles</t>
  </si>
  <si>
    <t>2004-10500-003</t>
  </si>
  <si>
    <t>10.1111/j.1467-9450.2004.00374.x</t>
  </si>
  <si>
    <t>Acculturation; Adaptation; Adolescent Development; Life Satisfaction; Mental Health; Cross Cultural Differences; Immigration; Self-Esteem; Adolescence (13-17 yrs); Male; Female</t>
  </si>
  <si>
    <t>Using a questionnaire survey, this study compared psychological adaptation (self-esteem, life satisfaction, and mental health problems) of Turkish adolescents in Norway and Sweden, and examined to what extent ethnic and majority identities, acculturation strategies, and perceived discrimination accounted for adaptation among Turkish adolescents. The samples consisted of 407 Turks (111 in Norway and 296 in Sweden) with a mean age of 15.2 years and 433 host adolescents (207 in Norway, 226 in Sweden) with a mean age of 15.6 years. Turks in Norway reported poorer psychological adaptation than Turks in Sweden. Predictors of good adaptation were Turkish identity and integration, whereas poor adaptation was related to marginalization and perceived discrimination. The results indicated that the poorer adaptation of Turks in Norway compared to that of Turks in Sweden could be due to lower degree of Turkish identity and higher degree of perceived discrimination. (PsycINFO Database Record (c) 2016 APA, all rights reserved)</t>
  </si>
  <si>
    <t>http://search.ebscohost.com.proxy-ub.rug.nl/login.aspx?direct=true&amp;db=psyh&amp;AN=2004-10500-003&amp;site=ehost-live&amp;scope=site</t>
  </si>
  <si>
    <t>Advancing understanding of acculturation for adolescents of Asian immigrants: Person-oriented analysis of acculturation strategy among Korean American youth.</t>
  </si>
  <si>
    <t>Choi, Yoonsun; Tan, Kevin Poh Hiong; Yasui, Miwa; Hahm, Hyeouk Chris</t>
  </si>
  <si>
    <t>Journal of Youth and Adolescence</t>
  </si>
  <si>
    <t>2016-22835-001</t>
  </si>
  <si>
    <t>10.1007/s10964-016-0496-0</t>
  </si>
  <si>
    <t>Acculturation; Asians; Family; Immigration; Childhood (birth-12 yrs); School Age (6-12 yrs); Adolescence (13-17 yrs); Adulthood (18 yrs &amp; older); Male; Female</t>
  </si>
  <si>
    <t>Acculturation strategy, a significant predictor of immigrant adaptation, has been under-studied with Asian Americans, in particular, Asian American youth. Using person-oriented latent profile analysis, this study identified acculturation strategies among Korean American early adolescents living in the Midwest. Two-hundred ninety-one families were interviewed in 2007 that included 220 youth (mean age 13, 47.7 % female), along with 272 mothers and 164 fathers (N = 656). They were re-interviewed in 2008 (N = 588). The study found three distinct acculturation strategies: separation (11.8 %, n = 26), integrated bicultural (66.9 %, n = 150), and modest bicultural (21.3 %, n = 44). Integrated bicultural youth reported the strongest sense of ethnic identity and the most favorable characteristics, providing empirical support for the benefit of biculturalism. The findings further suggest that separation may not be as detrimental as previously thought, and modest bicultural—biculturalism that is not fully developed—may in fact be less desirable among Korean American youth. (PsycINFO Database Record (c) 2016 APA, all rights reserved)</t>
  </si>
  <si>
    <t>http://search.ebscohost.com.proxy-ub.rug.nl/login.aspx?direct=true&amp;db=psyh&amp;AN=2016-22835-001&amp;site=ehost-live&amp;scope=site</t>
  </si>
  <si>
    <t>Adversities of acculturation? Prevalence of obesity among immigrants.</t>
  </si>
  <si>
    <t>Kaushal, Neeraj</t>
  </si>
  <si>
    <t>Health Economics</t>
  </si>
  <si>
    <t>2009-03463-002</t>
  </si>
  <si>
    <t>10.1002/hec.1368</t>
  </si>
  <si>
    <t>Acculturation; Epidemiology; Immigration; Obesity; Adulthood (18 yrs &amp; older); Male; Female</t>
  </si>
  <si>
    <t>I study factors associated with prevalence of obesity among immigrants as the length of their stay in the US becomes longer. Using the National Health Interview Surveys for 1990-2004, I create 'synthetic cohorts' of immigrants that allow controlling for two important determinants of obesity: age at arrival and period of arrival in the US. I find that immigrants with a BA degree did not experience any change in obesity as their stay in the US advanced. Obesity among those without a BA degree, however, increased with duration of stay. Similarly, while some ethnic groups experienced increase in obesity with duration, others did not. For those who experienced increase in obesity with duration, the rise was higher during the first five years of residence than later and greater for those who arrived at a relatively young age. (PsycINFO Database Record (c) 2016 APA, all rights reserved)</t>
  </si>
  <si>
    <t>http://search.ebscohost.com.proxy-ub.rug.nl/login.aspx?direct=true&amp;db=psyh&amp;AN=2009-03463-002&amp;site=ehost-live&amp;scope=site</t>
  </si>
  <si>
    <t>African caribbean immigrant acculturation, ethnic identity, and psychological outcomes.</t>
  </si>
  <si>
    <t>Wright, Roshane S.</t>
  </si>
  <si>
    <t>12-B(E)</t>
  </si>
  <si>
    <t>2014-99120-347</t>
  </si>
  <si>
    <t>Acculturation; Latinos/Latinas; Ethnic Identity; Immigration</t>
  </si>
  <si>
    <t>According to the 2010 census Caribbean immigrants make up 49% of the Black immigrant population of the United States, yet there remains a limited amount of acculturation research with Caribbean immigrants. Instead, the literature is dominated by studies conducted with the Asian and Latino immigrant Diasporas highlighting the complex relationship between acculturation and various psychological factors. The purpose of this study was to investigate the relationship between acculturation, ethnic identity, and psychological outcomes in a sample of immigrants of African-Caribbean descent. Using Berry's (1997) theoretical framework for acculturation research, we hypothesized that ethnic identity would mediate the relationship between acculturation and psychological outcomes. A sample of adult, self-identified immigrants of African-Caribbean descent recruited in the Houston metropolitan area completed a survey packet that included a bidimensional measure of acculturation, a measure of ethnic identity, and scales of self-esteem, life satisfaction, and depression. Statistical analyses conducted with PROCESS revealed that ethnic identity did not mediate the relationship between acculturation and psychological outcomes. However, supplemental moderation analysis revealed mainstream orientation leads to more perceived life satisfaction when ethnic identity ranges from moderate to high. Future research should continue to study the process of acculturation in immigrants of African Caribbean descent using qualitative and longitudinal study designs. (PsycINFO Database Record (c) 2016 APA, all rights reserved)</t>
  </si>
  <si>
    <t>http://search.ebscohost.com.proxy-ub.rug.nl/login.aspx?direct=true&amp;db=psyh&amp;AN=2014-99120-347&amp;site=ehost-live&amp;scope=site</t>
  </si>
  <si>
    <t>After coming in, settling in: An analysis of early-stage acculturation preferences of male Syrian and Iraqi asylum seekers in Belgium.</t>
  </si>
  <si>
    <t>Roblain, Antoine; Malki, Bachar; Azzi, Assaad; Licata, Laurent</t>
  </si>
  <si>
    <t>International Review of Social Psychology</t>
  </si>
  <si>
    <t>2017-30358-001</t>
  </si>
  <si>
    <t>Ubiquity Press</t>
  </si>
  <si>
    <t>Acculturation; Refugees; Asylum Seeking; Intention; Adolescence (13-17 yrs); Adulthood (18 yrs &amp; older); Young Adulthood (18-29 yrs); Thirties (30-39 yrs); Middle Age (40-64 yrs); Male</t>
  </si>
  <si>
    <t>Despite the current societal emergency, little is known about the acculturation processes undergone by Syrian and Iraqi asylum seekers. The present paper investigates their early-stage acculturation preferences in relation to their perception of majority members’ acculturation expectations and to their settlement intentions. 103 Syrian and Iraqi male asylum seekers were recruited during the peak of the 2015 'refugee crisis' in a provisional reception centre and completed a brief questionnaire. Results showed that asylum seekers reported a high willingness to participate in the host society and to adopt the host culture, while maintaining their culture of origin. Moreover, as predicted, asylum seekers’ settlement intentions and their perceptions of majority members’ acculturation expectations were key predictors of their own acculturation preferences. Implications for integration policies are discussed. (PsycINFO Database Record (c) 2018 APA, all rights reserved)</t>
  </si>
  <si>
    <t>http://search.ebscohost.com.proxy-ub.rug.nl/login.aspx?direct=true&amp;db=psyh&amp;AN=2017-30358-001&amp;site=ehost-live&amp;scope=site</t>
  </si>
  <si>
    <t>After-school program attendance and the social development of rural Latino children of immigrant families.</t>
  </si>
  <si>
    <t>Riggs, Nathaniel R.</t>
  </si>
  <si>
    <t>2006-00977-006</t>
  </si>
  <si>
    <t>10.1002/jcop.20084</t>
  </si>
  <si>
    <t>After School Programs; Immigration; Psychosocial Development; Latinos/Latinas; Rural Environments; Childhood (birth-12 yrs); School Age (6-12 yrs); Male; Female</t>
  </si>
  <si>
    <t>One difficulty of evaluating after-school programs is that providers often lack resources necessary to employ rigorous evaluation designs. One strategy is to investigate the relationship between attendance and outcomes while covarying for important potentially confounding variables. The current study investigates the influence of after-school program attendance on immigrant Latino children's (N = 94) social development. Hierarchical linear regressions indicated that after covarying for other important variables, high program dosage was related to increased social competence and decreased behavior problems. Implications of this research are that after-school programs may promote the positive youth development of immigrant Latino children, that it is important that attendance data be collected when evaluating after-school programs, and that community-funded research can lead to scientifically relevant findings. (PsycINFO Database Record (c) 2016 APA, all rights reserved)</t>
  </si>
  <si>
    <t>http://search.ebscohost.com.proxy-ub.rug.nl/login.aspx?direct=true&amp;db=psyh&amp;AN=2006-00977-006&amp;site=ehost-live&amp;scope=site</t>
  </si>
  <si>
    <t>Age of dementia diagnosis in community dwelling bilingual and monolingual Hispanic Americans.</t>
  </si>
  <si>
    <t>Lawton, Deborah M.; Gasquoine, Philip G.; Weimer, Amy A.</t>
  </si>
  <si>
    <t>Cortex: A Journal Devoted to the Study of the Nervous System and Behavior</t>
  </si>
  <si>
    <t>2015-18271-016</t>
  </si>
  <si>
    <t>10.1016/j.cortex.2014.11.017</t>
  </si>
  <si>
    <t>Elsevier Masson SAS</t>
  </si>
  <si>
    <t>Age Differences; Bilingualism; Communities; Latinos/Latinas; Alzheimer's Disease; Dementia; Diagnosis; Adulthood (18 yrs &amp; older); Middle Age (40-64 yrs); Aged (65 yrs &amp; older); Very Old (85 yrs &amp; older); Male; Female</t>
  </si>
  <si>
    <t>Bilingualism has been reported to delay the age of retrospective report of first symptom in dementia. This study determined if the age of clinically diagnosed Alzheimer's disease and vascular dementia occurred later for bilingual than monolingual, immigrant and U.S. born, Hispanic Americans. It involved a secondary analysis of the subset of 81 bi/monolingual dementia cases identified at yearly follow-up (1998 through 2008) using neuropsychological test results and objective diagnostic criteria from the Sacramento Area Latino Study on Aging that involved a random sampling of community dwelling Hispanic Americans (N = 1789). Age of dementia diagnosis was analyzed in a 2 × 2 (bi/monolingualism × immigrant/U.S. born) ANOVA that space revealed both main effects and the interaction were non-significant. Mean age of dementia diagnosis was descriptively (but not significantly) higher in the monolingual (M = 81.10 years) than the bilingual (M = 79.31) group. Overall, bilingual dementia cases were significantly better educated than monolinguals, but U.S. born bilinguals and monolinguals did not differ significantly in education. Delays in dementia symptomatology pertaining to bilingualism are less likely to be found in studies: (a) that use age of clinical diagnosis vs. retrospective report of first dementia symptom as the dependent variable; and (b) involve clinical cases derived from community samples rather than referrals to specialist memory clinics. (PsycINFO Database Record (c) 2016 APA, all rights reserved)</t>
  </si>
  <si>
    <t>http://search.ebscohost.com.proxy-ub.rug.nl/login.aspx?direct=true&amp;db=psyh&amp;AN=2015-18271-016&amp;site=ehost-live&amp;scope=site</t>
  </si>
  <si>
    <t>Aggression behavior and substance use among immigrant children: Mediating effect of antisocial attitudes.</t>
  </si>
  <si>
    <t>Small, Eusebius; Kim, Youn Kyoung; Mengo, Cecilia</t>
  </si>
  <si>
    <t>Journal of Ethnicity in Substance Abuse</t>
  </si>
  <si>
    <t>2017-10482-002</t>
  </si>
  <si>
    <t>10.1080/15332640.2015.1077761</t>
  </si>
  <si>
    <t>Aggressive Behavior; Attitudes; Drug Abuse; Immigration; Latinos/Latinas; Antisocial Behavior; Childhood (birth-12 yrs); School Age (6-12 yrs); Male; Female</t>
  </si>
  <si>
    <t>In 2010, approximately one out of four youths in the United States were immigrant children. Hispanics and Asians comprised the largest groups (58% and 16%), respectively. Today, the Hispanic population is the largest ethnic minority in the United States (15%) and is a majority of the U.S. foreign-born population (47%). While immigration is a positive process for most immigrants, resettlement into a new country has challenges, including acculturation adjustments. Youth engage in risky behaviors such as substance use and antisocial behaviors. For immigrant youth with limited supportive opportunities, however, the acculturation process can be difficult. Stress, alienation, and stigma often manifest and cause behavioral problems, including aggression. This pilot study examines the mediating effect of antisocial attitudes using sociocultural, developmental, and environmental factors to understand Hispanic youth problem behaviors. We sampled 136 youths, ages 6–12, from predominantly Hispanic elementary schools in the southwestern United States to ascertain the role of aggression and antisocial behavior in substance use attitudes. The results show significant differences in aggression, antisocial attitudes, and substance use according to (1) age, (2) years in the United States, (3) English level, and (4) relationship with mother. Aggression significantly predicted antisocial attitudes and substance use, with antisocial attitudes having a mediating effect on the relationship between aggression and substance use. In developing social service programs to prevent substance use among children from immigrant families, social work educators and practitioners may consider addressing the role of aggression in Hispanic adolescents’ future behavior. (PsycINFO Database Record (c) 2017 APA, all rights reserved)</t>
  </si>
  <si>
    <t>http://search.ebscohost.com.proxy-ub.rug.nl/login.aspx?direct=true&amp;db=psyh&amp;AN=2017-10482-002&amp;site=ehost-live&amp;scope=site</t>
  </si>
  <si>
    <t>Alcohol consumption change of English, French and Chinese speaking immigrants in Ottawa and Gatineau, Canada.</t>
  </si>
  <si>
    <t>Tang, Ning; MacDougall, Colin</t>
  </si>
  <si>
    <t>Journal of Public Health</t>
  </si>
  <si>
    <t>2015-22791-006</t>
  </si>
  <si>
    <t>10.1007/s10389-015-0666-7</t>
  </si>
  <si>
    <t>Acculturation; Alcohol Drinking Patterns; Behavior Change; Immigration; Human Sex Differences; Adulthood (18 yrs &amp; older); Male; Female</t>
  </si>
  <si>
    <t>Aim: The multicultural study aimed at examining alcohol consumption change or drinking change of English, French and Chinese speaking immigrants in Ottawa and Gatineau, Canada, and identifying demographic factors that impact the change. Subjects and methods: In all, 810 immigrants of three language sub-groups were recruited by purposive-sampling. Using self-reports, respondents answered questions regarding drinking change and demography in the Multicultural Lifestyle Change Questionnaire in either the English, French or Chinese versions. Data on drinking were analyzed statistically. Results: The immigrants of different gender, language and category sub-groups exhibited different drinking rates, drinking rates before immigration, drinking rates after immigration, drinking change rates and drinking belief change rates. Drinking change (drinking behavior change + drinking belief change) was correlated positively with mother tongue and negatively with gender. Drinking behavior change was negatively correlated with gender and category of immigration. Mother tongue and gender significantly impacted drinking change. Gender significantly impacted drinking behavior change. Conclusion: The immigrants of different sub-groups in Canada experienced different drinking change. Mother tongue and gender were main impacting factors. Culture and acculturation were important contributing factors. Data of immigrant drinking change may provide evidence for drinking policy-making and policy-revising in Canada. (PsycINFO Database Record (c) 2016 APA, all rights reserved)</t>
  </si>
  <si>
    <t>http://search.ebscohost.com.proxy-ub.rug.nl/login.aspx?direct=true&amp;db=psyh&amp;AN=2015-22791-006&amp;site=ehost-live&amp;scope=site</t>
  </si>
  <si>
    <t>Alcohol use among Arab Americans: What is the prevalence?</t>
  </si>
  <si>
    <t>Arfken, Cynthia L.; Arnetz, Bengt B.; Fakhouri, Monty; Ventimiglia, Matthew J.; Jamil, Hikmet</t>
  </si>
  <si>
    <t>2011-14505-010</t>
  </si>
  <si>
    <t>10.1007/s10903-011-9447-8</t>
  </si>
  <si>
    <t>Acculturation; Alcohol Abuse; Arabs; Binge Drinking; Epidemiology; Adulthood (18 yrs &amp; older); Male; Female</t>
  </si>
  <si>
    <t>Information is limited on alcohol use among Arab Americans. The purpose of this study was to describe and analyze the alcohol use pattern among Arab Americans by reviewing existing surveys using an acculturation model. Secondary data analysis. Nationally, English-speaking immigrant Arab Americans reported lower rates of lifetime alcohol use (50.8%), past month use (26.4%) and binge drinking (10%) than the White majority group. In a state survey, self-identified English-speaking Arab Americans were less likely to report past month use (45.6%) than the White majority group but reported similar rate of binge drinking (17.0%). Locally, lifetime drinking was reported by 46.2% of the immigrants but only 13.4% of refugees fleeing war. Few databases are available to estimate alcohol use pattern among Arab Americans; the limited data suggest a drinking pattern consistent with acculturation. However, the potential influence of other factors is unknown and needs to be investigated. (PsycINFO Database Record (c) 2016 APA, all rights reserved)</t>
  </si>
  <si>
    <t>http://search.ebscohost.com.proxy-ub.rug.nl/login.aspx?direct=true&amp;db=psyh&amp;AN=2011-14505-010&amp;site=ehost-live&amp;scope=site</t>
  </si>
  <si>
    <t>Alcohol Use Disorders in National Samples of Mexicans and Mexican-Americans: The Mexican National Addiction Survey and the U.S. National Alcohol Survey.</t>
  </si>
  <si>
    <t>Borges, Guilherme; Medina-Mora, Maria Elena; Lown, Anne; Ye, Yu; Robertson, Marjorie; Cherpitel, Cheryl; Greenfield, Tom</t>
  </si>
  <si>
    <t>2006-09324-007</t>
  </si>
  <si>
    <t>10.1177/0739986306291502</t>
  </si>
  <si>
    <t>Acculturation; Alcohol Abuse; Drug Dependency; Immigration; Mexican Americans; Adulthood (18 yrs &amp; older); Young Adulthood (18-29 yrs); Thirties (30-39 yrs); Middle Age (40-64 yrs); Aged (65 yrs &amp; older); Male; Female</t>
  </si>
  <si>
    <t>The authors show associations between immigration and alcohol disorders using data from the 1995 and 2000 U.S. National Alcohol Surveys and the 1998 Mexico National Household Survey on Addictions. The prevalence of alcohol dependence was 4.8% for the Mexicans, 4.2% for the Mexico-born immigrants, and 6.6% for the U.S.-born Mexican Americans. They found a general lack of significance for the immigration variables with few consistent dose-response findings for alcohol use disorders. High acculturation was associated with higher risks for women; however, unexpectedly, high acculturation was associated with lower risks for males. Among Mexican Americans, the impact of immigration to the United States on the prevalence of alcohol use disorders differs by gender. Male and female differences and possible sources of immigrant selection are important issues for future research. (PsycINFO Database Record (c) 2016 APA, all rights reserved)</t>
  </si>
  <si>
    <t>http://search.ebscohost.com.proxy-ub.rug.nl/login.aspx?direct=true&amp;db=psyh&amp;AN=2006-09324-007&amp;site=ehost-live&amp;scope=site</t>
  </si>
  <si>
    <t>Alcohol use exacerbates acculturative stress among recently immigrated, young adult Latinas.</t>
  </si>
  <si>
    <t>Ertl, Melissa M.; Dillon, Frank R.; Martin, Jessica L.; Babino, Rosa; De La Rosa, Mario</t>
  </si>
  <si>
    <t>2018-21451-010</t>
  </si>
  <si>
    <t>10.1007/s10903-017-0586-4</t>
  </si>
  <si>
    <t>Acculturation; Alcohol Drinking Patterns; Immigration; Stress; Latinos/Latinas; Adulthood (18 yrs &amp; older); Young Adulthood (18-29 yrs); Male; Female</t>
  </si>
  <si>
    <t>Associations between theorized sociocultural factors and acculturative stress were examined among Latina immigrants (aged 18–23 years) during their initial months in the US. Participants’ quantity of alcohol use was hypothesized to be linked with more acculturative stress. Using respondent-driven sampling, 530 Latinas who recently immigrated to Miami-Dade County, Florida, were recruited from community activities, Latino health fairs, advertisements at community agencies, and online postings. A path analysis revealed associations between acculturative stress and more time in the US and greater commitment to ethnic identity. Marianismo gender role beliefs differentially related with acculturative stress. Quantity of alcohol use moderated the positive association between time in US and acculturative stress, such that women in the US for less time who drank more alcohol experienced higher levels of acculturative stress than their peers. Findings suggest quantity of alcohol use may exacerbate acculturative stress during some Latina young adult immigrants’ initial months in the US. (PsycINFO Database Record (c) 2019 APA, all rights reserved)</t>
  </si>
  <si>
    <t>http://search.ebscohost.com.proxy-ub.rug.nl/login.aspx?direct=true&amp;db=psyh&amp;AN=2018-21451-010&amp;site=ehost-live&amp;scope=site</t>
  </si>
  <si>
    <t>Allostatic load among non-Hispanic Whites, non-Hispanic Blacks, and people of Mexican origin: Effects of ethnicity, nativity, and acculturation.</t>
  </si>
  <si>
    <t>Peek, M. Kristen; Cutchin, Malcolm P.; Salinas, Jennifer J.; Sheffield, Kristin M.; Eschbach, Karl; Stowe, Raymond P.; Goodwin, James S.</t>
  </si>
  <si>
    <t>2010-08587-017</t>
  </si>
  <si>
    <t>10.2105/AJPH.2007.129312</t>
  </si>
  <si>
    <t>Acculturation; Racial and Ethnic Differences; Stress; Blacks; Mexican Americans; Whites; Adulthood (18 yrs &amp; older); Young Adulthood (18-29 yrs); Thirties (30-39 yrs); Middle Age (40-64 yrs); Aged (65 yrs &amp; older); Male; Female</t>
  </si>
  <si>
    <t>Objectives: We investigated ethnic differences in allostatic load in a population-based sample of adults living in Texas City, TX, and assessed the effects of nativity and acculturation status on allostatic load among people of Mexican origin. Methods: We used logistic regression models to examine ethnic variations in allostatic load scores among non-Hispanic Whites, non-Hispanic Blacks, and people of Mexican origin. We also examined associations between measures of acculturation and allostatic load scores among people of Mexican origin only. Results: Foreign-born Mexicans were the least likely group to score in the higher allostatic load categories. Among individuals of Mexican origin, US-born Mexican Americans had higher allostatic load scores than foreign-born Mexicans, and acculturation measures did not account for the difference. Conclusions: Our findings expand on recent research from the National Health and Nutrition Examination Survey with respect to ethnicity and allostatic load. Our results are consistent with the healthy immigrant hypothesis (i.e., newer immigrants are healthier) and the acculturation hypothesis, according to which the longer Mexican immigrants reside in the United States, the greater their likelihood of potentially losing culture-related health-protective effects. (PsycINFO Database Record (c) 2016 APA, all rights reserved)</t>
  </si>
  <si>
    <t>http://search.ebscohost.com.proxy-ub.rug.nl/login.aspx?direct=true&amp;db=psyh&amp;AN=2010-08587-017&amp;site=ehost-live&amp;scope=site</t>
  </si>
  <si>
    <t>Altering perceived cultural and economic threats can increase immigrant helping.</t>
  </si>
  <si>
    <t>Burhan, Omar K.; van Leeuwen, Esther</t>
  </si>
  <si>
    <t>Journal of Social Issues</t>
  </si>
  <si>
    <t>2016-43811-008</t>
  </si>
  <si>
    <t>10.1111/josi.12181</t>
  </si>
  <si>
    <t>Assistance (Social Behavior); Economics; Immigration; Sociocultural Factors; Threat; Adulthood (18 yrs &amp; older); Male; Female</t>
  </si>
  <si>
    <t>We report two experimental studies in which we investigated the effects of perceived economic and cultural threat on positive interactions between a host society and immigrants. Study 1 showed that people who perceived immigrants as less of a threat to their society's economy were more willing to provide immigrants with empowerment help and less likely to expect immigrants to solve their own problems (group change). In Study 2, we found that high culturally adapted immigrant was seen as less of a threat than low culturally adapted immigrants among the low and moderate nationalists, but not among high nationalists, who viewed immigrants as threatening regardless of their cultural adaptation. Participants who perceived immigrants as culturally nonthreatening were subsequently more willing to provide immigrants with help in the form of direct assistance and less likely to expect the group to change. (PsycINFO Database Record (c) 2020 APA, all rights reserved)</t>
  </si>
  <si>
    <t>http://search.ebscohost.com.proxy-ub.rug.nl/login.aspx?direct=true&amp;db=psyh&amp;AN=2016-43811-008&amp;site=ehost-live&amp;scope=site</t>
  </si>
  <si>
    <t>An ecological approach to psychological adjustment: A field survey among refugees in Germany.</t>
  </si>
  <si>
    <t>Haase, Anna; Rohmann, Anette; Hallmann, Katrin</t>
  </si>
  <si>
    <t>2018-66762-005</t>
  </si>
  <si>
    <t>10.1016/j.ijintrel.2018.10.003</t>
  </si>
  <si>
    <t>Acculturation; Discrimination; Emotional Adjustment; Refugees; Adolescence (13-17 yrs); Adulthood (18 yrs &amp; older); Young Adulthood (18-29 yrs); Thirties (30-39 yrs); Middle Age (40-64 yrs); Male; Female</t>
  </si>
  <si>
    <t>The situation of refugees in Germany and other countries is a current and important matter. The present study adopts an ecological approach to investigate how refugees perceive the welcoming climate in Germany and the consequences of this perception. To further explore the refugees’ situation, we examined several predictors of their psychological adjustment and acculturation attitudes. In a field study in Eastern Germany with N = 94 refugees as participants, we assessed the perceived context of reception, and perceived acculturation attitudes as contextual variables, discrimination and contact as intergroup variables and, on the individual level, psychological adjustment as well as the personal acculturation attitudes as dependent variables. The results revealed that more perceived discrimination resulted in an increase in reported psychological problems. Refugees living in asylum centers reported more psychological problems and more perceived discrimination than those living in independent housing. The perceived context of reception positively predicted refugees’ desire for maintenance of intergroup relations with the host society. Positive intergroup contact lowered their desire for cultural maintenance. In sum, this study gives us rare and valuable insight into refugees’ perspectives in the context of recent immigration to Germany. In doing so, it emphasizes the importance of a welcoming climate. The study shows how meaningful the assessment of the perceived context of reception is. Practical implications for fields such as the accommodation of refugees are discussed. (PsycINFO Database Record (c) 2019 APA, all rights reserved)</t>
  </si>
  <si>
    <t>http://search.ebscohost.com.proxy-ub.rug.nl/login.aspx?direct=true&amp;db=psyh&amp;AN=2018-66762-005&amp;site=ehost-live&amp;scope=site</t>
  </si>
  <si>
    <t>An Empirical Evaluation of Social Support and Psychological Well-being in Older Chinese and Korean Immigrants.</t>
  </si>
  <si>
    <t>Wong, Sabrina T.; Yoo, Grace J.; Stewart, Anita L.</t>
  </si>
  <si>
    <t>Ethnicity &amp; Health</t>
  </si>
  <si>
    <t>2006-22373-003</t>
  </si>
  <si>
    <t>10.1080/13557850600824104</t>
  </si>
  <si>
    <t>Aging; Immigration; Living Arrangements; Social Support; Well Being; Asians; Adulthood (18 yrs &amp; older); Aged (65 yrs &amp; older); Very Old (85 yrs &amp; older); Male; Female</t>
  </si>
  <si>
    <t>Objectives: To examine, among older Chinese and Korean immigrants: (1) the concept and measurement of perceived social support; (2) levels of social support and psychological well-being by living arrangement; and (3) whether social support is positively related to psychological well-being. Design: A convenience sample of 200 self-identified Chinese and Koreans, aged 65 years and older, were interviewed. Psychometric analysis was conducted to examine the reliability and validity of a new social support measure. Bivariate and multivariate analyses were used to examine the relationship between social support and psychological well-being. Results: Factor analysis revealed a four-factor solution of social support and adequate psychometrics of all social support scales was found. Multivariate results suggest that Koreans have more depression than Chinese (p &lt; 0.01). Those who lived with their spouse and adult children had lower overall psychological well-being (p &lt; 0.05) and lower positive affect (p &lt; 0.05) compared to those who lived alone. Having more emotional/companionship support significantly (p &lt; 0.001) contributed to better overall psychological well-being, having less depression and higher positive affect. Conclusions: A new multidimensional social support measure for use with older Chinese and Koreans could be useful upon further validation. These results suggest that older Chinese and Koreans' psychological well-being may be negatively affected when they live with their adult children. More depression in Koreans may be related to difficulties in expanding their social network beyond Korean-speaking people. (PsycINFO Database Record (c) 2016 APA, all rights reserved)</t>
  </si>
  <si>
    <t>http://search.ebscohost.com.proxy-ub.rug.nl/login.aspx?direct=true&amp;db=psyh&amp;AN=2006-22373-003&amp;site=ehost-live&amp;scope=site</t>
  </si>
  <si>
    <t>An Empirical Test of the Multicultural/Multimodal/Multisystems (MULTI-CMS) Approach for Korean Immigrant Families.</t>
  </si>
  <si>
    <t>Moon, Sung Seek; DeWeaver, Kevin L.</t>
  </si>
  <si>
    <t>Journal of Social Work Research and Evaluation</t>
  </si>
  <si>
    <t>2005-10361-005</t>
  </si>
  <si>
    <t>Springer Publishing</t>
  </si>
  <si>
    <t>Cross Cultural Differences; Immigration; Korean Cultural Groups; Models; Acculturation; Family Conflict; Family Relations; Religion; Social Support; Socioeconomic Status; Values; Adolescence (13-17 yrs); Adulthood (18 yrs &amp; older); Male; Female</t>
  </si>
  <si>
    <t>It is imperative to explain family conflict within immigrant families with a sound theory established by various ethnic, cultural, and multi modalities. Although Gopaul-McNicol proposed the conceptual framework of the MULTI-CMS approach, there are few empirical studies that have attempted to test the approach, taking into account the domains of variables included in the MULTI-CMS approach. The main purpose of this study is to examine how individual variables (gender, religious, SES) of the participants correlate with each latent variable (acculturation, family value system, family support system, family conflict). The model was tested with data from 304 Korean American adolescents ages 14 to 18 years. Structural equation modeling was used for the major analysis. The final structural equation model had a good fit to the data (GFI = .94, RMSEA = .034). The results indicate that gender had a statistically significant relationship with family conflict. In addition, SES had a statistically significant association with acculturation and family conflict. (PsycINFO Database Record (c) 2016 APA, all rights reserved)</t>
  </si>
  <si>
    <t>http://search.ebscohost.com.proxy-ub.rug.nl/login.aspx?direct=true&amp;db=psyh&amp;AN=2005-10361-005&amp;site=ehost-live&amp;scope=site</t>
  </si>
  <si>
    <t>An examination of acculturation levels and evaluation of leadership knowledge and experiences of first generation immigrant leaders at the district offices and school sites in the mid-Atlantic region of the United States.</t>
  </si>
  <si>
    <t>Aghamirza, Nazila</t>
  </si>
  <si>
    <t>3-A(E)</t>
  </si>
  <si>
    <t>2016-37851-262</t>
  </si>
  <si>
    <t>Acculturation; Educational Personnel; Immigration; Knowledge Level; Leadership; Adulthood (18 yrs &amp; older)</t>
  </si>
  <si>
    <t>The purpose of this study was to examine acculturation levels and evaluate leadership knowledge and experiences of first generation immigrant educational leaders at the district offices and school sites of the mid-Atlantic region of the United States. This study first investigated the impact of language competency, cultural competency, and (self-identified) ethnicity on acculturation levels of first generation immigrant educational leaders in the mid-Atlantic region of the United States by using an abbreviated multidimensional acculturation survey. Second, it evaluated their educational leadership knowledge and experiences based on ISLLC standards by using an abbreviated ISLLC Self-Assessment survey. Third, the study assessed the relationship between acculturation levels and educational leadership knowledge and experiences of first generation immigrant educational leaders in the mid-Atlantic region of the United States tied to ISLLC standards. This research added to our current knowledge and filled a void in existing knowledge about acculturation and educational leadership of first generation immigrant educational leaders in the mid-Atlantic region of the United States. In addition, it informed policy makers about issues and need for training, developing, and hiring ethnically diverse educational leaders within the school system of the United States. Since all external and internal parts of an open social system are constantly interrelated to each other, there was a relationship between acculturation levels and educational leadership practices of first generation immigrant educational leaders. The interaction among interrelated subsystems of this study was best explained by fusing acculturation theory, and transformational leadership theory under the overarching open social systems model. (PsycINFO Database Record (c) 2016 APA, all rights reserved)</t>
  </si>
  <si>
    <t>http://search.ebscohost.com.proxy-ub.rug.nl/login.aspx?direct=true&amp;db=psyh&amp;AN=2016-37851-262&amp;site=ehost-live&amp;scope=site</t>
  </si>
  <si>
    <t>An examination of the effects of print media exposure and contact on subjective social reality and acculturation attitudes.</t>
  </si>
  <si>
    <t>Liu, Shuang</t>
  </si>
  <si>
    <t>2006-02578-005</t>
  </si>
  <si>
    <t>10.1016/j.ijintrel.2005.08.007</t>
  </si>
  <si>
    <t>Acculturation; Intergroup Dynamics; Printed Communications Media; Reality; Social Perception; Immigration; Interpersonal Communication; Media Exposure; Adulthood (18 yrs &amp; older); Male; Female</t>
  </si>
  <si>
    <t>This study draws upon cultivation theory, acculturation theory, and works on intergroup relations to examine the effects of print media exposure and contact on subjective social reality and acculturation attitudes of Chinese immigrants in Australia. Data was gathered via a survey administered to 265 respondents with Chinese origin. Results indicate that exposure to mainstream newspapers is only positively related to one indicator of subjective reality, namely, outgroup perception whereas exposure to ethnic newspapers was not significantly related to any of the indicators of subjective reality. Acculturation attitudes, on the other hand, are more closely related to group perception and contact but not closely associated with exposure to print media. These findings have again challenged the 'direct effect' assumption of cultivation theory, paved the ground for combining mediated communication variables with interpersonal communication variables in acculturation research and suggested policy implications for interethnic coexistence. (PsycINFO Database Record (c) 2016 APA, all rights reserved)</t>
  </si>
  <si>
    <t>http://search.ebscohost.com.proxy-ub.rug.nl/login.aspx?direct=true&amp;db=psyh&amp;AN=2006-02578-005&amp;site=ehost-live&amp;scope=site</t>
  </si>
  <si>
    <t>An examination of the relationship between acculturation level and PTSD among Central American immigrants in the United States.</t>
  </si>
  <si>
    <t>Sankey, Sarita Marie</t>
  </si>
  <si>
    <t>2011-99030-201</t>
  </si>
  <si>
    <t>Acculturation; Countries; Immigration; Posttraumatic Stress Disorder; Stress</t>
  </si>
  <si>
    <t>The purpose of this study was to examine the relationship between acculturation level and posttraumatic stress disorder (PTSD) prevalence in Central American immigrants in the United States. Central American immigrants represent a population that is a part of the Latino/Hispanic Diaspora in the United States. By the year 2050 the United States population will experience a great change in the ethnic/racial demographics and most will be former minorities comprising over 45% racial minorities (U.S. Census, 2005). Thus, it becomes more important for counselor educators and other helping professionals to understand how to adequately assess the 'Latino' and be culturally sensitive — especially since Central American immigrants come from diverse backgrounds, and although they may be labeled 'Hispanic,' there is diversity within groups of ethnic minorities. This dissertation examined the research hypotheses: There is a relationship between acculturation level and PTSD among Central American immigrants in the United States. In addition, there are predictive relationships among the demographic variables. The null hypotheses presented are: There is no relationship between acculturation level and PTSD among Central American immigrants in the United States and additionally, there are no predictive relationships among the demographic variables. A Pearson correlation design was done to assess statistical significance (both positive and negative), and to examine if there was a relationship between acculturation level and PTSD. The alpha level was set at a significance level of .05. A standard Multiple Regression design was utilized to assess predictive relationships among the demographic variables with PTSD severity: migration reason, age, gender, migration year, and marital status. The sample represented an n = 63 out of 100 participants who volunteered to participate in the study. The results show that there was a relationship between acculturation level and PTSD among Central American immigrants. Several instruments were utilized for this dissertation research to assess both acculturation level and prevalence or lack of PTSD severity. The AMAS-ZABB (Abbreviated Multidimensional Acculturation Scale) and the PCL-C (Posttraumatic Stress Disorder Checklist for Civilians) were utilized in this study. The results showed a positive correlation between acculturation level (U.S. identity, r = .289), Latino identity (r = .281), and PTSD. At an alpha level of α .01, age was positively correlated (r = .684) and acculturation level (English language) was negatively correlated with PTSD (r = -.465). Multiple R for regression was statistically significant when examining the demographic variables of age, acculturation level (English Language) and migration reason. The results were also statistically significant in predicting PTSD severity. (PsycINFO Database Record (c) 2016 APA, all rights reserved)</t>
  </si>
  <si>
    <t>http://search.ebscohost.com.proxy-ub.rug.nl/login.aspx?direct=true&amp;db=psyh&amp;AN=2011-99030-201&amp;site=ehost-live&amp;scope=site</t>
  </si>
  <si>
    <t>An examination of the relationship between acculturation level and PTSD among central American immigrants in the United States.</t>
  </si>
  <si>
    <t>9-A(E)</t>
  </si>
  <si>
    <t>2018-30343-245</t>
  </si>
  <si>
    <t>Immigration; Psychosocial Factors; Quality of Life; Society; Adulthood (18 yrs &amp; older)</t>
  </si>
  <si>
    <t>The purpose of this study was to examine the relationship between acculturation level and posttraumatic stress disorder (PTSD) prevalence in Central American immigrants in the United States. Central American immigrants represent a population that is a part of the Latino/Hispanic Diaspora in the United States. By the year 2050 the United States population will experience a great change in the ethnic/racial demographics and most will be former minorities comprising over 45% racial minorities (U.S. Census, 2005). Thus, it becomes more important for counselor educators and other helping professionals to understand how to adequately assess the 'Latino' and be culturally sensitive --- especially since Central American immigrants come from diverse backgrounds, and although they may be labeled 'Hispanic', there is diversity within groups of ethnic minorities. This dissertation examined the research hypotheses: There is a relationship between acculturation level and PTSD among Central American immigrants in the United States. In addition, there are predictive relationships among the demographic variables. The null hypotheses presented are: There is no relationship between acculturation level and PTSD among Central American immigrants in the United States and additionally, there are no predictive relationships among the demographic variables. A Pearson correlation design was done to assess statistical significance (both positive and negative), and to examine if there was a relationship between acculturation level and PTSD. The alpha level was set at a significance level of .05. A standard Multiple Regression design was utilized to assess predictive relationships among the demographic variables with PTSD severity: migration reason, age, gender, migration year, and marital status. The sample of participants was n = 63 out of 100 participants who volunteered to participate in the study. The results show that there was a relationship between acculturation level and PTSD among Central American immigrants. Several instruments were utilized for this dissertation research to assess both acculturation level and prevalence or lack of PTSD severity. The AMAS-ZABB (Abbreviated Multidimensional Acculturation Scale) and the PCL-C (Posttraumatic Stress Disorder Checklist for Civilians) were utilized in this study. The results showed a positive correlation between acculturation level (U.S. identity, r = .289), Latino identity (r = .281), and PTSD. At an alpha level of alpha .01, age was positively correlated (r = .684) and acculturation level (English language) was negatively correlated with PTSD (r = -.465). Multiple R for regression was statistically significant when examining the demographic variables of age, acculturation level (English Language) and migration reason. The results were also statistically significant in predicting PTSD severity. (PsycINFO Database Record (c) 2018 APA, all rights reserved)</t>
  </si>
  <si>
    <t>http://search.ebscohost.com.proxy-ub.rug.nl/login.aspx?direct=true&amp;db=psyh&amp;AN=2018-30343-245&amp;site=ehost-live&amp;scope=site</t>
  </si>
  <si>
    <t>An exploration of cultural identity patterns and the family context among Arab Muslim young adults in America.</t>
  </si>
  <si>
    <t>Britto, Pia Rebello; Amer, Mona M.</t>
  </si>
  <si>
    <t>Applied Developmental Science</t>
  </si>
  <si>
    <t>2007-12391-004</t>
  </si>
  <si>
    <t>10.1080/10888690701454633</t>
  </si>
  <si>
    <t>Acculturation; Arabs; Ethnic Identity; Family Relations; Muslims; Sociocultural Factors; Cultural Identity; Adulthood (18 yrs &amp; older); Young Adulthood (18-29 yrs); Male; Female</t>
  </si>
  <si>
    <t>While many studies have explored cultural adaptation and development and its correlates among adult Arab immigrants to the United States (U.S.), little empirical work has focused on Arab youth who were raised in the U.S., particularly Arab Muslim young adults. The present study explores cultural identity patterns and the sociodemographic and family contexts of 150 Arab Muslim American young adults ages 18-25 who completed an Internet study. The participants fell into three cultural identity groups: High Bicultural, Moderate Bicultural, and High Arab Cultural. Although all three groups demonstrated positive general family functioning, the Moderate Bicultural group was distinct in that they were less likely to be engaged or married, and they experienced less family support and more family acculturative stressors. The results highlight the importance of the family context in contributing to a stronger sense of cultural identity for young adults who fall at the intersection of Arab and American culture and Muslim faith. (PsycInfo Database Record (c) 2020 APA, all rights reserved)</t>
  </si>
  <si>
    <t>http://search.ebscohost.com.proxy-ub.rug.nl/login.aspx?direct=true&amp;db=psyh&amp;AN=2007-12391-004&amp;site=ehost-live&amp;scope=site</t>
  </si>
  <si>
    <t>An exploration of healthy eating and physical activity habits of Hmong high-school students by disability status: A pilot study.</t>
  </si>
  <si>
    <t>Vasudevan, Vijay; Der Vang, Pa; Fernandez-Baca, Daniel</t>
  </si>
  <si>
    <t>Disability and Health Journal</t>
  </si>
  <si>
    <t>2019-36946-001</t>
  </si>
  <si>
    <t>10.1016/j.dhjo.2019.06.012</t>
  </si>
  <si>
    <t>Health Promotion; High School Students; Immigration; Physical Activity; Students; Family; Health Behavior; Adolescent Behavior; Childhood (birth-12 yrs); School Age (6-12 yrs); Adolescence (13-17 yrs); Male; Female</t>
  </si>
  <si>
    <t>Background: Immigrants are at risk of being obese from obesogenic environments and face factors which limit physical activity and healthy eating. While Hmong immigrants acknowledge the importance of healthy eating and physical activity, to our knowledge no studies have looked at health promoting behaviors among Hmong adolescents with and without disabilities. Objective: In this paper, we seek to provide baseline data about physical activity and healthy eating among Hmong high school students with disabilities in Minnesota. Methods: We used data from the 2016 Minnesota Student Survey. The study included responses from 1,824 Hmong high school students. We compared physical activity and healthy eating of Hmong high school students by disability status. Results: Approximately 13% of Hmong had a disability (n = 239). A greater percentage of Hmong high school students with disabilities reported zero days of 60 min of physical activity (20.5% vs 14.8%, p &lt; 0.10) and zero days participation in sports teams outside of school (69.0% vs. 64.3%, p &lt; 0.10). Compared to Hmong students without disabilities, a significantly lower percentage of Hmong students with disabilities reported not receiving free/reduced lunch (66.5% vs 73.1%, p &lt; 0.05) and significantly more likely to skip meals because their family did not have enough money (14.2% vs 9.7%, p &lt; 0.05). Conclusion: Adolescent Hmong with disabilities encounter both cultural and disability specific factors which could contribute to poorer health promoting behaviors. This study shines light on the need for social policy that promotes disability inclusive, culturally specific health promotion information and advocacy for immigrant youth with disabilities and their families in schools and communities. (PsycINFO Database Record (c) 2020 APA, all rights reserved)</t>
  </si>
  <si>
    <t>http://search.ebscohost.com.proxy-ub.rug.nl/login.aspx?direct=true&amp;db=psyh&amp;AN=2019-36946-001&amp;site=ehost-live&amp;scope=site</t>
  </si>
  <si>
    <t>An exploratory analysis of linguistic acculturation, neighborhood, and risk behaviors among children of Southeast Asian immigrants.</t>
  </si>
  <si>
    <t>Tam, Christina; Freisthler, Bridget</t>
  </si>
  <si>
    <t>Child &amp; Adolescent Social Work Journal</t>
  </si>
  <si>
    <t>2015-00023-001</t>
  </si>
  <si>
    <t>10.1007/s10560-014-0372-2</t>
  </si>
  <si>
    <t>Acculturation; Childhood Development; Immigration; Linguistics; Risk Taking; At Risk Populations; Neighborhoods; Southeast Asian Cultural Groups; Adolescence (13-17 yrs); Adulthood (18 yrs &amp; older); Young Adulthood (18-29 yrs); Male; Female</t>
  </si>
  <si>
    <t>Southeast Asian youth are disproportionately represented in the juvenile justice system, and yet little is known about the correlates of their delinquency. Predicated upon segmented assimilation theory, the aims of this study were (1) to examine the relationship between linguistic acculturation and risk behaviors and (2) to investigate neighborhood effects on risk behaviors among a sample of 153 at-risk Southeast Asian youth and young adults recruited from the East Bay Area near San Francisco, California. Exploratory factor analysis from estimated Census data derived neighborhood constructs for concentrated disadvantage and immigrant concentration. A series of binary logistic regression models suggested that linguistic acculturation, neighborhood disadvantage, and immigrant concentration were not related to violence perpetration, arrest, or gang association. Males and those who had dropped out of school were more likely to report acts that are associated with delinquency. Findings suggest that scholars and policymakers should continue to use disaggregated ethnic data to implement culturally competent practices that are reflective of the respective groups’ cultural backgrounds and migration histories. Implications for further research and practice among children of Southeast Asian immigrants are discussed. (PsycINFO Database Record (c) 2016 APA, all rights reserved)</t>
  </si>
  <si>
    <t>http://search.ebscohost.com.proxy-ub.rug.nl/login.aspx?direct=true&amp;db=psyh&amp;AN=2015-00023-001&amp;site=ehost-live&amp;scope=site</t>
  </si>
  <si>
    <t>An integrated acculturation model of immigrants' social identity.</t>
  </si>
  <si>
    <t>Mana, Adi; Orr, Emda; Mana, Yossi</t>
  </si>
  <si>
    <t>2009-11094-003</t>
  </si>
  <si>
    <t>10.3200/SOCP.149.4.450-473</t>
  </si>
  <si>
    <t>Heldref Publications</t>
  </si>
  <si>
    <t>Acculturation; Identity Formation; Immigration; Social Identity; Adolescent Psychology; Ethnic Identity; Adolescence (13-17 yrs); Male; Female</t>
  </si>
  <si>
    <t>The authors investigated how 2 groups with unequal social power—immigrant adolescents from Ethiopia (n = 241) and the former USSR (n = 531)—and their Israeli host peers (n = 854) might construct an immigrant identity regarding adaptation to life in their new country. The authors introduce the concept of immigrant identity representations based an integrative model combining parts of J. W. Berry's (1990) acculturation model (BAM) and H. Tajfel's (1981) version of social identity theory (SIT). The findings reveal a common pattern of identity representations and are interpreted in terms of the integrative combination of the BAM and SIT frameworks. (PsycINFO Database Record (c) 2016 APA, all rights reserved)</t>
  </si>
  <si>
    <t>http://search.ebscohost.com.proxy-ub.rug.nl/login.aspx?direct=true&amp;db=psyh&amp;AN=2009-11094-003&amp;site=ehost-live&amp;scope=site</t>
  </si>
  <si>
    <t>Analysis of physical activity and acculturation among Turkish migrants in Germany and England.</t>
  </si>
  <si>
    <t>Koca, Canan; La, Tennur Yerlisu</t>
  </si>
  <si>
    <t>Perceptual and Motor Skills</t>
  </si>
  <si>
    <t>2015-06325-003</t>
  </si>
  <si>
    <t>10.2466/06.PMS.119c29z7</t>
  </si>
  <si>
    <t>Perceptual &amp; Motor Skills</t>
  </si>
  <si>
    <t>Acculturation; Exercise; Human Migration; Immigration; Physical Activity; Adulthood (18 yrs &amp; older); Young Adulthood (18-29 yrs); Thirties (30-39 yrs); Middle Age (40-64 yrs); Male; Female</t>
  </si>
  <si>
    <t>Recent literature shows that migrant populations in Western countries are generally less physically active than their host populations. The purpose of the present study was to expand research investigating associations between physical activity (PA) and acculturation and their relationship with several socio-demographic factors among Turkish migrants in Germany and England. The sample consisted of 521 Turkish migrants. Migrant generation, length of residence, and language proficiency were used as indicators of acculturation. Acculturation was not associated with PA among migrants in Germany and England. PA of migrants was significantly associated with migrant's host country, age, sex, marital status, and education. The total PA of migrants in Germany was higher than that of migrants in England; the large majority of females in both Germany and England had low PA, whereas most males had moderate PA. Seemingly, PA in Turkish migrant populations will not necessarily increase as a result of greater acculturation to the host society. (PsycINFO Database Record (c) 2016 APA, all rights reserved)</t>
  </si>
  <si>
    <t>http://search.ebscohost.com.proxy-ub.rug.nl/login.aspx?direct=true&amp;db=psyh&amp;AN=2015-06325-003&amp;site=ehost-live&amp;scope=site</t>
  </si>
  <si>
    <t>Antecedents of organizational citizenship behavior among Turkish white-collar employees in The Netherlands and Turkey.</t>
  </si>
  <si>
    <t>Ersoy, Nevra Cem; Derous, Eva; Born, Marise Ph.; van der Molen, Henk T.</t>
  </si>
  <si>
    <t>2015-56042-008</t>
  </si>
  <si>
    <t>10.1016/j.ijintrel.2015.06.010</t>
  </si>
  <si>
    <t>Employee Attitudes; Immigration; Organizational Commitment; Citizenship; Organizational Behavior; Adulthood (18 yrs &amp; older); Male; Female</t>
  </si>
  <si>
    <t>This study examined antecedents of organizational citizenship behavior (i.e., reward for application; religiosity beliefs and employees’ relational identification with their supervisor) among Turkish white-collar employees in The Netherlands (n = 103) and Turkey (n = 147). OCB related positively to reward for application (both samples) but not to religiosity beliefs among Turkish employees in their home country (Turkey). As expected, relational identification with the supervisor was less strongly related to organizational citizenship behavior among Turkish white-collar employees in their host country (The Netherlands) compared to their home country (Turkey), especially when they resided longer in their host country. Giving increasing globalization and war for talent, findings are relevant to better understand effects of white-collar migrants’ cultural background and acculturation patterns in work-related domains, like OCB. (PsycINFO Database Record (c) 2016 APA, all rights reserved)</t>
  </si>
  <si>
    <t>http://search.ebscohost.com.proxy-ub.rug.nl/login.aspx?direct=true&amp;db=psyh&amp;AN=2015-56042-008&amp;site=ehost-live&amp;scope=site</t>
  </si>
  <si>
    <t>Anxiety disorders among US immigrants: The role of immigrant background and social-psychological factors.</t>
  </si>
  <si>
    <t>Szaflarski, Magdalena; Cubbins, Lisa A.; Meganathan, Karthikeyan</t>
  </si>
  <si>
    <t>Issues in Mental Health Nursing</t>
  </si>
  <si>
    <t>2017-15784-005</t>
  </si>
  <si>
    <t>10.1080/01612840.2017.1287790</t>
  </si>
  <si>
    <t>Anxiety Disorders; Epidemiology; Immigration; Psychosocial Factors; Racial and Ethnic Differences; Acculturation; Health Care Services; Stress; Adulthood (18 yrs &amp; older); Young Adulthood (18-29 yrs); Female</t>
  </si>
  <si>
    <t>This study used the National Epidemiological Survey on Alcohol and Related Conditions, a longitudinal adult sample, to estimate the rates of prevalent, acquired, and persisting anxiety disorders by nativity and racial-ethnic origin while adjusting for acculturation, stress, social ties, and sociodemographics. Prevalent and acquired anxiety disorders were less likely among foreign-born than US-born, except Puerto-Rican- and Mexican-born who had higher risks. Persisting cases were similar between foreign-born and US-born, except Asian/Pacific Islanders who had lower risk. Stress and preference for socializing outside one's racial-ethnic group were associated with higher while close ties were associated with lower rates of acquired/persisting anxiety disorders. (PsycINFO Database Record (c) 2017 APA, all rights reserved)</t>
  </si>
  <si>
    <t>http://search.ebscohost.com.proxy-ub.rug.nl/login.aspx?direct=true&amp;db=psyh&amp;AN=2017-15784-005&amp;site=ehost-live&amp;scope=site</t>
  </si>
  <si>
    <t>Approaches to the Afro-Colombian experience in Chile: South-south immigration toward the northern regions.</t>
  </si>
  <si>
    <t>Segovia, Jimena Silva; Lufin, Marcelo</t>
  </si>
  <si>
    <t>Journal of Black Studies</t>
  </si>
  <si>
    <t>2013-13253-001</t>
  </si>
  <si>
    <t>10.1177/0021934713476890</t>
  </si>
  <si>
    <t>Acculturation; Experiences (Events); Immigration; Adolescence (13-17 yrs); Adulthood (18 yrs &amp; older); Young Adulthood (18-29 yrs); Thirties (30-39 yrs); Middle Age (40-64 yrs); Male; Female</t>
  </si>
  <si>
    <t>This article proposes to characterize the situation of Afro-Colombian immigrant families, with emphasis on women living in the Region of Antofagasta, Chile. A mixed methodology was used, with interviews, conversation groups, and surveys of groups of men and women born in Colombia who have settled in Chile. It was sought to describe their experiences in two contexts: the first, from outside in, as a context of emigration from Colombia, and the second, the current context of immigration in Chile. The principal findings include a description of what the displacement means for the women based on their motivations to migrate and the relevant experiences they had in accessing Chilean territory and in the normalization of their migratory status. Transversally, the authors observed whether or not their basic, social, and economic rights were prevalent and the constant impact that the contextual and ethnic systems that affect them had on the immigrant women. (PsycINFO Database Record (c) 2016 APA, all rights reserved)</t>
  </si>
  <si>
    <t>http://search.ebscohost.com.proxy-ub.rug.nl/login.aspx?direct=true&amp;db=psyh&amp;AN=2013-13253-001&amp;site=ehost-live&amp;scope=site</t>
  </si>
  <si>
    <t>Are immigrant enclaves healthy places to live? The Multi-ethnic Study of Atherosclerosis.</t>
  </si>
  <si>
    <t>Osypuk, Theresa L.; Roux, Ana V. Diez; Hadley, Craig; Kandula, Namratha R.</t>
  </si>
  <si>
    <t>2009-09281-015</t>
  </si>
  <si>
    <t>10.1016/j.socscimed.2009.04.010</t>
  </si>
  <si>
    <t>Atherosclerosis; Health; Health Behavior; Immigration; Neighborhoods; Health Disparities; Adulthood (18 yrs &amp; older); Middle Age (40-64 yrs); Aged (65 yrs &amp; older); Male; Female</t>
  </si>
  <si>
    <t>The growing size and changing composition of the foreign-born population in the USA highlights the importance of examining the health consequences of living in neighborhoods with higher proportions of immigrants. Using data from the Multi-ethnic Study of Atherosclerosis in four US cities, we examined whether neighborhood immigrant composition was associated with health behaviors (diet, physical activity) among Hispanic and Chinese Americans (n = 1902). Secondarily we tested whether neighborhoods with high proportions of immigrants exhibited better or worse neighborhood quality, and whether these dimensions of neighborhood quality were associated with healthy behaviors. Neighborhood immigrant composition was defined based on the Census 2000 tract percent of foreign-born from Latin-America, and separately, percent foreign-born from China. After adjustment for age, gender, income, education, neighborhood poverty, and acculturation, living in a tract with a higher proportion of immigrants was associated with lower consumption of high-fat foods among Hispanics and Chinese, but with being less physically active among Hispanics. Residents in neighborhoods with higher proportions of immigrants reported better healthy food availability, but also worse walk ability, fewer recreational exercise resources, worse safety, lower social cohesion, and lower neighborhood-based civic engagement. Associations of neighborhood immigrant composition with diet persisted after adjustment for reported neighborhood characteristics, and associations with physical activity were attenuated. Respondent-reported neighborhood healthy food availability, walk ability, availability of exercise facilities and civic participation remained associated with behaviors after adjusting for immigrant composition and other covariates. Results show that living in an immigrant enclave is not monolithically beneficial and may have different associations with different health behaviors. (PsycINFO Database Record (c) 2016 APA, all rights reserved)</t>
  </si>
  <si>
    <t>http://search.ebscohost.com.proxy-ub.rug.nl/login.aspx?direct=true&amp;db=psyh&amp;AN=2009-09281-015&amp;site=ehost-live&amp;scope=site</t>
  </si>
  <si>
    <t>Assessing a self-report health measure for non-English-speaking elders: Issues in using the SF-36 Health Survey.</t>
  </si>
  <si>
    <t>Jordan-Marsh, Maryalice; Cody, Michael; Silverstein, Merril; Chin, Soo-Young; Garcia, Ruth</t>
  </si>
  <si>
    <t>Research on Social Work Practice</t>
  </si>
  <si>
    <t>2007-19924-006</t>
  </si>
  <si>
    <t>10.1177/1049731507300152</t>
  </si>
  <si>
    <t>Aging; Health; Immigration; Language Proficiency; Psychometrics; Self-Report; Test Reliability; Test Validity; Adulthood (18 yrs &amp; older); Middle Age (40-64 yrs); Aged (65 yrs &amp; older); Male; Female</t>
  </si>
  <si>
    <t>Objective: Approved versions of the SF-36 Version 1.0 are used for limited-English-speaking individuals whose primary languages are Korean, Chinese, and Spanish to test the respective translations for use among immigrants to the United States. Method: Surveys are completed by an older adult and a nominated adult family caregiver (N = 132). Results: Adequate internal consistency and validity are found for Chinese and Spanish with the exception of the Social Functioning (Spanish) and Vitality (Chinese) Scales. The Korean version has reliability and validity issues. Comparisons are made with English language norms and studies that use translations in Spanish and Chinese. No comparative data for Korean Americans are found. Recommendations are made for reading reports of and using SF-36 translations. Conclusion: Paying attention to options in use of translations of the SF-36 in Chinese and Spanish improves the relevance of findings to research and practice. (PsycINFO Database Record (c) 2016 APA, all rights reserved)</t>
  </si>
  <si>
    <t>http://search.ebscohost.com.proxy-ub.rug.nl/login.aspx?direct=true&amp;db=psyh&amp;AN=2007-19924-006&amp;site=ehost-live&amp;scope=site</t>
  </si>
  <si>
    <t>Assessing psychological symptoms in recent immigrant adolescents.</t>
  </si>
  <si>
    <t>Patel, Sita G.; Kull, Melissa A.</t>
  </si>
  <si>
    <t>2011-09638-025</t>
  </si>
  <si>
    <t>10.1007/s10903-010-9382-0</t>
  </si>
  <si>
    <t>Adolescent Psychiatry; Immigration; Psychiatric Symptoms; Adolescence (13-17 yrs); Male; Female</t>
  </si>
  <si>
    <t>Immigrant youth are often exposed to numerous psychosocial stressors, placing them at risk for psychological distress. Little research assesses psychopathology in this population during early stages of acculturation. This study compared student and teacher reports of psychological symptoms in a diverse sample of recently immigrated youth. Students (N = 174) attended public high schools in a northeastern city. Students and teachers independently completed the Achenbach System of Empirically Based Assessment, and four DSM-derived subscales were explored. Psychological symptoms among immigrant students were higher than normative rates. Across all subscales, teacher ratings of student symptoms were significantly lower than student self-reported symptoms, and this difference was larger than that found in a normative sample. Results suggest that many immigrant youth experience psychological problems but may not be perceived as being in distress. Therefore, the most effective assessment approach may be active screening, rather than relying on self initiated help-seeking or teacher observation alone. (PsycINFO Database Record (c) 2016 APA, all rights reserved)</t>
  </si>
  <si>
    <t>http://search.ebscohost.com.proxy-ub.rug.nl/login.aspx?direct=true&amp;db=psyh&amp;AN=2011-09638-025&amp;site=ehost-live&amp;scope=site</t>
  </si>
  <si>
    <t>Assessing teachers’ multicultural and egalitarian beliefs: The Teacher Cultural Beliefs Scale.</t>
  </si>
  <si>
    <t>Hachfeld, Axinja; Hahn, Adam; Schroeder, Sascha; Anders, Yvonne; Stanat, Petra; Kunter, Mareike</t>
  </si>
  <si>
    <t>Teaching and Teacher Education</t>
  </si>
  <si>
    <t>2011-12314-004</t>
  </si>
  <si>
    <t>10.1016/j.tate.2011.04.006</t>
  </si>
  <si>
    <t>Egalitarianism; Measurement; Psychometrics; Teacher Attitudes; Multiculturalism; Attitudes; Factor Structure; Teachers; Test Reliability; Test Validity; Adulthood (18 yrs &amp; older); Young Adulthood (18-29 yrs); Thirties (30-39 yrs); Middle Age (40-64 yrs); Male; Female</t>
  </si>
  <si>
    <t>The article describes the newly developed Teacher Cultural Beliefs Scale (TCBS). The TCBS assesses multicultural and egalitarian beliefs about diversity, both of which reflect favorable attitudes toward immigrant students, but differ with regard to how cultural diversity is believed to be best accommodated in schools. Results from a first study with 433 beginning teachers supported the two-factor structure and the measurement invariance of the scale. Results from a second study with 340 teacher candidates and educational science students showed that proponents of multiculturalism and egalitarianism shared a motivation to control prejudiced reactions, but that they differed in their views on acculturation, prejudices, and authoritarianism. (PsycINFO Database Record (c) 2017 APA, all rights reserved)</t>
  </si>
  <si>
    <t>http://search.ebscohost.com.proxy-ub.rug.nl/login.aspx?direct=true&amp;db=psyh&amp;AN=2011-12314-004&amp;site=ehost-live&amp;scope=site</t>
  </si>
  <si>
    <t>Assessing the factors influencing financial market participation among African born immigrants in Connecticut.</t>
  </si>
  <si>
    <t>Etim, Cosmas O.</t>
  </si>
  <si>
    <t>2018-09131-036</t>
  </si>
  <si>
    <t>Employment Status; Higher Education; Immigration; African Cultural Groups; Finance; Adulthood (18 yrs &amp; older)</t>
  </si>
  <si>
    <t>Participation in the financial markets means to save money, access credit, buy homes, purchase insurance products, start a business, own stocks and bonds, and retirement accounts. Immigrants can invest in these assets to create wealth and improve their welfare. Research indicates that many immigrants do not invest in financial assets in the United States because they have low education, are unemployed, or have low income. The problem addressed in this study was low financial market participation among African immigrants in Connecticut despite high education and employment. The purpose of this qualitative multiple case study was to explore their perceptions of why they did not invest in financial assets to build wealth. A sample of 15 educated and employed African immigrants were selected by purposive snowball and criterion sampling from a personal list, and specific sites. Three research questions asked African immigrants to describe what they perceived impeded their participation, what they could do, or might be done to help them participate, and whether or not lack of financial literacy was part of the problem. In this study, multiple data collection methods were conducted including informal face-to-face, open-ended semi-structured/unstructured interviews, online questionnaires, telephone interviews, and document review. Data were analyzed using qualitative content analyses to identify themes related to the research questions. Results indicated that low financial literacy was the most important factor contributing to low financial market participation among educated and employed African immigrants. Acculturation apathy, impinging on the ability to learn and embrace American values might contribute to low financial literacy among African immigrants. Pointedly, African cultural anchors doused with religious beliefs, which undermine hard work and preparedness for the future, may also contribute to low financial participation. Recommendations for practice include providing African immigrants with financial literacy education by community- based organizations, non-profits, service providers, and financial institutions. Future research should explore how African cultural and religious beliefs might influence financial behaviors. This study was limited to African immigrants in Connecticut; future research may replicate this study in different geographical locations, or explore how two different groups- Christians and Muslims, operating under the same economic and cultural environment in Africa perceive money and wealth. (PsycINFO Database Record (c) 2018 APA, all rights reserved)</t>
  </si>
  <si>
    <t>http://search.ebscohost.com.proxy-ub.rug.nl/login.aspx?direct=true&amp;db=psyh&amp;AN=2018-09131-036&amp;site=ehost-live&amp;scope=site</t>
  </si>
  <si>
    <t>Assessing the long-term effects of an experimental bilingual-multicultural programme: Implications for drop-out prevention, multicultural development and immigration policy.</t>
  </si>
  <si>
    <t>Ramirez, Manuel; Perez, Magdalenda; Valdez, Gladys; Hall, Brittany</t>
  </si>
  <si>
    <t>International Journal of Bilingual Education and Bilingualism</t>
  </si>
  <si>
    <t>2010-12177-004</t>
  </si>
  <si>
    <t>10.1080/13670050802149523</t>
  </si>
  <si>
    <t>Bilingual Education; Immigration; Multiculturalism; Academic Achievement; Bilingualism; School Graduation; Adulthood (18 yrs &amp; older); Thirties (30-39 yrs); Male; Female</t>
  </si>
  <si>
    <t>The principal objective of this study was to investigate the long-term (35-36 years) effects of a K-3 bilingual multicultural programme by studying the former Mexican-American participants and controls as adults in their 30s and 40s. The controls were enrolled in an English immersion programme and were matched to the experimental programme participants in terms of ethnicity, generation level and SES; attendance at the same school; and residence in the same community. The two groups were compared on WRAT-3 achievement scores, high school graduation rates, fluency in English and Spanish, cultural values and on reported multicultural participation. A small sample of participants from each of the groups also participated in intensive interviews to assess their opinions about Proposition 227, bilingualism and recent immigrants from Mexico. Our data supported the findings of previous long-term bilingual programme effectiveness studies that showed that two-way/maintenance programmes are related to long-term academic achievement, increased high school graduation rates and do not delay Americanisation or interfere with academic performance in English. All participants, regardless of group, opposed Proposition 227 and viewed new immigrants as positively impacting their communities. They also perceived bilingualism as an asset contributing to their quality of life. (PsycINFO Database Record (c) 2016 APA, all rights reserved)</t>
  </si>
  <si>
    <t>http://search.ebscohost.com.proxy-ub.rug.nl/login.aspx?direct=true&amp;db=psyh&amp;AN=2010-12177-004&amp;site=ehost-live&amp;scope=site</t>
  </si>
  <si>
    <t>Assessment of Child and Adolescent Migrants to Australia: A Crosscultural Comparison.</t>
  </si>
  <si>
    <t>Barrett, Paula M.; Sonderegger, Robi; Sonderegger, Noleen L.</t>
  </si>
  <si>
    <t>Behaviour Change</t>
  </si>
  <si>
    <t>2003-07643-004</t>
  </si>
  <si>
    <t>10.1375/bech.19.4.220</t>
  </si>
  <si>
    <t>Australian Academic Press</t>
  </si>
  <si>
    <t>Acculturation; Coping Behavior; Ethnic Identity; Self-Esteem; Social Adjustment; Cross Cultural Differences; Distress; Racial and Ethnic Groups; Social Identity; Sociocultural Factors; Childhood (birth-12 yrs); School Age (6-12 yrs); Adolescence (13-17 yrs); Adulthood (18 yrs &amp; older); Young Adulthood (18-29 yrs); Male; Female</t>
  </si>
  <si>
    <t>This study examines whether young migrants, differentiated by cultural background, (a) vary in their experience of cultural adjustment, emotional distress, levels of self-esteem, and coping ability, and (b) how they compare with Australian students on measures of self-esteem and coping ability. 173 students ages 7-12 yrs, differentiated by cultural origin (former-Yugoslavian, Chinese, Mixed-culture, and Australian) and school level (primary and high school) were recruited at random from public schools in South East Queensland. Students completed measures of cultural adjustment (Bicultural Involvement Questionnaire), anxiety and trauma (Revised Children's Manifest Anxiety Scale, Trauma Symptom Checklist), self-esteem (Coopersmith Self-Esteem Inventory, Rosenberg Self-Esteem Scale), and coping ability esteem (Coping Scale for Children and Adolescents). The main findings from this study indicate that culturally diverse groups residing in Australia vary in their experience of cultural adaptation, level of self-esteem, and symptoms of emotional distress, illustrating culture-specific strengths and weaknesses among young non-English speaking (NESB) students. This study reveals information on how culturally diverse migrants acculturate, the type and severity... (PsycINFO Database Record (c) 2016 APA, all rights reserved)</t>
  </si>
  <si>
    <t>http://search.ebscohost.com.proxy-ub.rug.nl/login.aspx?direct=true&amp;db=psyh&amp;AN=2003-07643-004&amp;site=ehost-live&amp;scope=site</t>
  </si>
  <si>
    <t>Assessment of the Short Acculturation Scale for Hispanics (SASH) among low-income, immigrant Hispanics.</t>
  </si>
  <si>
    <t>Ellison, Jennie; Jandorf, Lina; Duhamel, Katherine</t>
  </si>
  <si>
    <t>Journal of Cancer Education</t>
  </si>
  <si>
    <t>2011-25640-013</t>
  </si>
  <si>
    <t>10.1007/s13187-011-0233-z</t>
  </si>
  <si>
    <t>Acculturation; Cancer Screening; Immigration; Neoplasms; Latinos/Latinas; Adulthood (18 yrs &amp; older); Middle Age (40-64 yrs); Aged (65 yrs &amp; older); Male; Female</t>
  </si>
  <si>
    <t>The present analysis sought to determine the usefulness and validity of the Short Acculturation Scale for Hispanics (SASH) in assessment of acculturation among Hispanics participating in a colorectal cancer screening study. Primary data was collected from 2008 to 2009 through surveys in East Harlem community-based sites and health clinics among Hispanics. Bivariate correlations and independent samples t tests assessed SASH correlation with acculturation proxies and relationships between proxies, SASH, and sociodemographics. SASH was highly correlated with commonly used acculturation proxies; inter-scale correlations and alpha scores were high. Sociodemographics associated with proxy variables were associated with SASH. In conclusion, SASH is useful and valid for assessing acculturation among Hispanics; however, a shortened version or acculturation proxy variables could also be utilized. (PsycINFO Database Record (c) 2016 APA, all rights reserved)</t>
  </si>
  <si>
    <t>http://search.ebscohost.com.proxy-ub.rug.nl/login.aspx?direct=true&amp;db=psyh&amp;AN=2011-25640-013&amp;site=ehost-live&amp;scope=site</t>
  </si>
  <si>
    <t>Assimilation and health service utilization of Korean immigrant women.</t>
  </si>
  <si>
    <t>Son, Juyeon</t>
  </si>
  <si>
    <t>Qualitative Health Research</t>
  </si>
  <si>
    <t>2013-38182-009</t>
  </si>
  <si>
    <t>10.1177/1049732313507142</t>
  </si>
  <si>
    <t>Acculturation; Health Care Services; Health Care Utilization; Human Females; Immigration; Adulthood (18 yrs &amp; older); Thirties (30-39 yrs); Middle Age (40-64 yrs); Aged (65 yrs &amp; older); Female</t>
  </si>
  <si>
    <t>In this case study, I present descriptive findings with regard to immigrant incorporation and health service utilization. Using focus groups and survey of Korean immigrant women in Wisconsin, I examine whether the ways in which they adapt to the U.S. society is relevant to their health services utilization and the alternatives they seek when available health services are less than satisfactory. The findings suggest that adherence to Korean identity appears to be associated with health service utilization. This is evident in the immigrants’ evaluation of the U.S. health services as compared to those of Korea, and the consideration given by these immigrants to seeking health services in Korea instead of the United States. Such concerns on the part of these immigrants have important implications for health researchers, as they highlight the significance of immigrants’ transnational experiences and their sense of personal agency in the use of health care. (PsycINFO Database Record (c) 2016 APA, all rights reserved)</t>
  </si>
  <si>
    <t>http://search.ebscohost.com.proxy-ub.rug.nl/login.aspx?direct=true&amp;db=psyh&amp;AN=2013-38182-009&amp;site=ehost-live&amp;scope=site</t>
  </si>
  <si>
    <t>Assimilation or integration: Similarities and differences between acculturation attitudes of migrants from Central Asia and Russians in Central Russia.</t>
  </si>
  <si>
    <t>Ryabichenko, Tatiana A.; Lebedeva, Nadezhda M.</t>
  </si>
  <si>
    <t>Psychology in Russia: State of the Art</t>
  </si>
  <si>
    <t>2016-26336-008</t>
  </si>
  <si>
    <t>10.11621/pir.2016.0107</t>
  </si>
  <si>
    <t>Russian Psychological Society</t>
  </si>
  <si>
    <t>Acculturation; Cross Cultural Differences; Human Migration; Multiculturalism; Adulthood (18 yrs &amp; older); Young Adulthood (18-29 yrs); Thirties (30-39 yrs); Middle Age (40-64 yrs); Aged (65 yrs &amp; older); Male; Female</t>
  </si>
  <si>
    <t>When acculturation strategies of migrants and acculturation expectations of a host society do not coincide, psychological outcomes for members of the groups in contact can differ significantly. Berry (2013) proposed that intercultural relations can be understood on the basis of three hypotheses: the multiculturalism hypothesis, the integration hypothesis, and the contact hypothesis. Our goal was to test these three hypotheses in Russian majority and Asian minority groups. Migrants from Central Asia (N = 168; 88 ethnic Uzbeks and 80 ethnic Tajiks) and ethnic Russians (N = 158) were surveyed using a self-report questionnaire that included measures developed by the Mutual Intercultural Relations in Plural Societies project. Data processing was carried out using Structural Equation Modeling with the Russians and the migrants separately. We found significant and positive relationships between perceived security and multicultural ideology in both groups. We found a positive relationship between intercultural contacts and the integration strategy among the migrants from Central Asia. Intercultural contacts in the group of Russians was positively related to the expectation of integration and negatively related to the expectation of assimilation. The integration strategy of the migrants was positively related to their self-esteem, while the assimilation strategy was positively related to their sociocultural adaptation and life satisfaction. Among the Russians, the integration expectation promoted their better life satisfaction and self-esteem. The multiculturalism hypothesis was partially supported with both the migrants from Central Asia and the Russians: perceived security promoted an acceptance of multicultural ideology but didn’t promote ethnic tolerance. The contact hypothesis was partially supported in both groups: interethnic contacts were positively linked to the integration strategy of the migrants and the integration expectations of the Russians. The integration hypothesis was fully supported in the sample of Russians and partially supported in the sample of migrants. The migrants’ adoption of the assimilation strategy promoted their life satisfaction and sociocultural adaptation. (PsycINFO Database Record (c) 2017 APA, all rights reserved)</t>
  </si>
  <si>
    <t>http://search.ebscohost.com.proxy-ub.rug.nl/login.aspx?direct=true&amp;db=psyh&amp;AN=2016-26336-008&amp;site=ehost-live&amp;scope=site</t>
  </si>
  <si>
    <t>Association of acculturation and health literacy with prevalent dysglycemia and diabetes control among Latinos in the Boston Area Community Health (BACH) Survey.</t>
  </si>
  <si>
    <t>López, Lenny; Grant, Richard W.; Marceau, Lisa; Piccolo, Rebecca; McKinlay, John B.; Meigs, James B.</t>
  </si>
  <si>
    <t>2016-50539-002</t>
  </si>
  <si>
    <t>10.1007/s10903-016-0362-x</t>
  </si>
  <si>
    <t>Acculturation; Diabetes; Health Literacy; Latinos/Latinas; Adulthood (18 yrs &amp; older); Young Adulthood (18-29 yrs); Thirties (30-39 yrs); Middle Age (40-64 yrs); Aged (65 yrs &amp; older); Male; Female</t>
  </si>
  <si>
    <t>This study assessed the effect of acculturation on type 2 diabetes and whether health literacy may mediate this association. The Boston Area Community Health cohort is a multi-stage stratified random sample of adults from Boston including 744 Latinos. We defined dysglycemia as a HbA1c ≥5.7 %. Multivariable analyses examined the associations between acculturation and health literacy adjusting for demographic and clinical variables. Similar analyses were performed among participants with HbA1c ≥7.0 % to assess the association between acculturation and diabetes control. Among an insured primarily foreign born Spanish speaking Latino population, with a long residence period in the US and good healthcare utilization, higher levels of acculturation were not associated with dysglycemia. Lower levels of acculturation were associated with worse diabetes control. Health literacy level did not modify these associations. Elucidating the components of heterogeneity among Latinos will be essential for understanding the influence of acculturation on diabetes. (PsycINFO Database Record (c) 2017 APA, all rights reserved)</t>
  </si>
  <si>
    <t>http://search.ebscohost.com.proxy-ub.rug.nl/login.aspx?direct=true&amp;db=psyh&amp;AN=2016-50539-002&amp;site=ehost-live&amp;scope=site</t>
  </si>
  <si>
    <t>Association of depression, psycho-social stress and acculturation with respiratory disease among Puerto Rican adults in Massachusetts.</t>
  </si>
  <si>
    <t>Henkin, Stanislav; Tucker, Katherine L.; Gao, Xiang; Falcon, Luis M.; Qawi, Imrana; Brugge, Doug</t>
  </si>
  <si>
    <t>2011-05261-004</t>
  </si>
  <si>
    <t>10.1007/s10903-009-9307-y</t>
  </si>
  <si>
    <t>Acculturation; Psychosocial Factors; Respiratory Tract Disorders; Social Stress; Latinos/Latinas; Major Depression; Psychological Stress; Adulthood (18 yrs &amp; older); Middle Age (40-64 yrs); Male; Female</t>
  </si>
  <si>
    <t>To assess associations between acculturation, depression, and self-reported stress score with reported diagnosis of respiratory disease (RD) in Puerto Rican adults, participants (N = 1,168) were identified from areas of high Hispanic density in the Boston, MA metropolitan area. Eligible participants were interviewed in the home by bilingual interviewers in either Spanish or English. Scales included topics ranging from general background to depressive symptomatology. Respiratory disease was self-reported and checked against prescribed medication. More than one-third (37.8%) of subjects reported doctor-diagnosed RD. A final binary logistical regression model (N = 850), which was adjusted for potential confounders (sex, age, education, poverty) showed that RD was significantly associated with psychological acculturation (OR = 1.97, P = 0.005), depressive symptomatology (OR = 1.52, P = 0.03) high perceived stress score (OR = 1.97, P = 0.009), and current smoking (OR = 1.61, P = 0.03). Significant inverse associations included a high level of language acculturation (OR = 0.65, P = 0.03), light (OR = 0.67, P = 0.01) and moderate to heavy physical activity versus sedentary physical activity (OR = 0.40, P = 0.03). We found self reported physician diagnosed RD was associated with high perceived stress and depression, as well as higher levels of psychological acculturation. Longitudinal research is needed to determine if there is a causal pathway for these associations. (PsycINFO Database Record (c) 2016 APA, all rights reserved)</t>
  </si>
  <si>
    <t>http://search.ebscohost.com.proxy-ub.rug.nl/login.aspx?direct=true&amp;db=psyh&amp;AN=2011-05261-004&amp;site=ehost-live&amp;scope=site</t>
  </si>
  <si>
    <t>Association of filial responsibility, ethnicity, and acculturation among Japanese American family caregivers of older adults.</t>
  </si>
  <si>
    <t>Miyawaki, Christina E.</t>
  </si>
  <si>
    <t>Journal of Applied Gerontology</t>
  </si>
  <si>
    <t>2017-07071-004</t>
  </si>
  <si>
    <t>10.1177/0733464815581484</t>
  </si>
  <si>
    <t>Acculturation; Caregivers; Japanese Americans; Filial Responsibility; Generational Differences; Age Differences; Geriatrics; Gerontology; Adulthood (18 yrs &amp; older); Middle Age (40-64 yrs); Aged (65 yrs &amp; older); Very Old (85 yrs &amp; older); Male; Female</t>
  </si>
  <si>
    <t>Challenges of filial caregiving practices by 1st-generation immigrants due to differences in caregiving values between their home and host countries are well documented. This study explored the filial responsibility of later generation Japanese American caregivers of older adults. Acculturation and filial responsibility were measured using the Suinn-Lew Asian Self Identity Acculturation scale and Filial Values Index, respectively. A qualitative interview guide was developed using Gordon’s assimilation theory, and 21 caregivers (M age = 68 years, 86% female, seven in each generation) were interviewed. Despite the 3rd-generation caregivers’ high acculturation level, their filial responsibility scores remained high. Qualitative interviews also revealed later generation caregivers’ strong filial responsibility and continued caregiving involvement. Unexpectedly, caregivers’ own future expectancy of care included placement in mainstream residential facilities rather than ethnic-specific settings. Findings point to the need to develop caregiver services that consider later generation caregivers’ culture and level of assimilation. (PsycINFO Database Record (c) 2017 APA, all rights reserved)</t>
  </si>
  <si>
    <t>http://search.ebscohost.com.proxy-ub.rug.nl/login.aspx?direct=true&amp;db=psyh&amp;AN=2017-07071-004&amp;site=ehost-live&amp;scope=site</t>
  </si>
  <si>
    <t>At the interface of ethnicity and recent immigration: Family functioning of Chinese with school-age children in Canada.</t>
  </si>
  <si>
    <t>Dyson, Lily L.; Qi, Jimmy; Wang, Mancia</t>
  </si>
  <si>
    <t>Journal of Child and Family Studies</t>
  </si>
  <si>
    <t>2013-35452-004</t>
  </si>
  <si>
    <t>10.1007/s10826-012-9667-0</t>
  </si>
  <si>
    <t>Ethnic Identity; Family; Immigration; Social Adjustment; Social Support; Acculturation; Childhood Development; Schools; Adulthood (18 yrs &amp; older); Young Adulthood (18-29 yrs); Thirties (30-39 yrs); Middle Age (40-64 yrs); Male; Female</t>
  </si>
  <si>
    <t>This study examined the family functioning of recent Chinese immigrants living in Canada in terms of its status and those socio-ecological factors that influence it. Recent immigration has resulted in an increasingly large number of residents in Canada and the US who represent both an immigrant and an ethnic minority status. Among such residents are Chinese immigrants. Because of the potentially large number of school-age children who are part of these families, the family functioning of the new Chinese immigrants with school-age children would be important for the children’s development. This study therefore compared 112 Chinese families who recently immigrated to Canada with 90 Caucasian non-immigrant families. Scales were administered to the families to measure various aspects of family functioning. The results showed that the Chinese immigrants experienced a lower degree of family cohesion. Their socio-ecological factors were both similar and different from the non-immigrants, with a lower degree of social support and certain differences in child-rearing practices than the non-immigrants. Social support and child-rearing practices were differentially related to different dimensions of family functioning. However, these relationships were not entirely unique to the immigrants. The results have increased our understanding of immigrants and may contribute to the provision of effective support for immigrants. Implications are suggested for community support for immigrants and for further research. (PsycINFO Database Record (c) 2016 APA, all rights reserved)</t>
  </si>
  <si>
    <t>http://search.ebscohost.com.proxy-ub.rug.nl/login.aspx?direct=true&amp;db=psyh&amp;AN=2013-35452-004&amp;site=ehost-live&amp;scope=site</t>
  </si>
  <si>
    <t>Attachment style and changes in systemic inflammation following migration to a new country among international students.</t>
  </si>
  <si>
    <t>Gouin, Jean-Philippe; MacNeil, Sasha</t>
  </si>
  <si>
    <t>Attachment &amp; Human Development</t>
  </si>
  <si>
    <t>2018-57074-001</t>
  </si>
  <si>
    <t>10.1080/14616734.2018.1541515</t>
  </si>
  <si>
    <t>Acculturation; Attachment Behavior; Inflammation; International Students; Proteins; Anxiety; Risk Factors; Social Integration; Adulthood (18 yrs &amp; older); Male; Female</t>
  </si>
  <si>
    <t>Attachment style may influence the acculturation process by shaping the types of social relationships that individuals form and maintain. Social relationship quantity and quality have been linked to chronic low-grade systemic inflammation, an immune process associated with risk for age-related diseases. The goal of this study was to investigate whether attachment style moderates the change in systemic inflammation during the early phases of the acculturation process, a period associated with rapid changes in social functioning. In this 5-month longitudinal study, 58 new international students completed the Adult Attachment Scale and provided blood samples for C-reactive protein (CRP) analysis shortly after arrival in the host country as well as 2 and 5 months later. Results indicated that individuals with higher attachment anxiety experienced larger increases in CRP over time. During a period of rapid changes in social functioning, attachment anxiety promotes immune changes that may increase health risk over time. (PsycInfo Database Record (c) 2020 APA, all rights reserved)</t>
  </si>
  <si>
    <t>http://search.ebscohost.com.proxy-ub.rug.nl/login.aspx?direct=true&amp;db=psyh&amp;AN=2018-57074-001&amp;site=ehost-live&amp;scope=site</t>
  </si>
  <si>
    <t>Attachment styles and demographic factors as predictors of sociocultural and psychological adjustment of Eastern European immigrants in the Netherlands.</t>
  </si>
  <si>
    <t>Polek, Elżbieta; van Oudenhoven, Jan Pieter; ten Berge, Jos M. F.</t>
  </si>
  <si>
    <t>2008-12609-010</t>
  </si>
  <si>
    <t>10.1080/00207590701484835</t>
  </si>
  <si>
    <t>Attachment Behavior; Demographic Characteristics; Emotional Adjustment; Immigration; Sociocultural Factors; Social Adjustment; Adulthood (18 yrs &amp; older); Male; Female</t>
  </si>
  <si>
    <t>The present study examined the relationship between adult attachment styles and psychological and sociocultural adjustment of Polish, Russian, and Hungarian immigrants (N = 631) to Dutch society. In addition, it also examined the relationship between demographic factors and adjustment and compared the predictive value of attachment styles and demographic factors for immigrants' adjustment. The Attachment Style Questionnaire was used to assess respondents' attachment. Psychological adjustment was measured with the Psychological Health Scale and the Satisfaction With Life Scale. Sociocultural adjustment was measured with the Social Support List—Interactions scale. Two scales for measuring identification and contact with the native and with the Dutch culture were developed and used as indicators of cultural adjustment. We found relations between attachment styles and psychological and sociocultural adjustment. Secure attachment was positively related (p &lt; .01) to psychological and sociocultural adjustment, fearful attachment was negatively (p &lt; .01) associated with psychological adjustment, and more negatively with identification with the Dutch culture than with identification with the native culture. Preoccupied attachment was negatively related (p &lt; .01) to psychological adjustment and to identification with the Dutch culture. Dismissing attachment was weakly negatively related (p &lt; .01) to sociocultural adjustment. Correlation patterns across the three immigrants' samples indicate that dismissing individuals remain relatively indifferent towards their native and the Dutch culture. Regarding demographic factors we found that education and age at immigration were positively associated with psychological and sociocultural adjustment, and length of residence appeared to be positively related to sociocultural adjustment. In general, demographic factors showed a stronger association with sociocultural than with psychological adjustment. Regression analysis revealed that attachment styles were better predictors of immigrants' psychological and sociocultural adjustment than demographic factors—education, age at immigration, and length of residence. The results indicate that immigrant studies would benefit from taking an attachment perspective. (PsycINFO Database Record (c) 2016 APA, all rights reserved)</t>
  </si>
  <si>
    <t>http://search.ebscohost.com.proxy-ub.rug.nl/login.aspx?direct=true&amp;db=psyh&amp;AN=2008-12609-010&amp;site=ehost-live&amp;scope=site</t>
  </si>
  <si>
    <t>Attitudes of Iranian immigrants in the United States toward seeking mental health services.</t>
  </si>
  <si>
    <t>Gorovoy, Shahla</t>
  </si>
  <si>
    <t>2014-99141-162</t>
  </si>
  <si>
    <t>Acculturation; Help Seeking Behavior; Immigration; Mental Health Services; Mental Health; Adulthood (18 yrs &amp; older)</t>
  </si>
  <si>
    <t>Although the number of Iranian immigrants to the United States has increased in the past 3 decades, few studies have explored their adjustment process and their help-seeking behavior. The purpose of this study was to explore the help-seeking behavior of this population. A convenience sample (N = 132) was recruited from first-generation adult Iranian immigrants. Based on the frameworks of the eco-cultural, psychosocial development, and social support theories, a quantitative cross-sectional design was used to examine the impact of gender, level of acculturation, educational level, age at the time of immigration, length of stay, and perception of social support on participants' help-seeking attitudes. Data were collected using a demographic questionnaire, the Iranian Self-Identity Acculturation Scale, Perceived Social Support Scale, and the Inventory of Attitudes Toward Seeking Mental Health Services. The impact of gender, levels of acculturation and education, younger age at the time of immigration, longer length of residency, and positive perception of social support on the attitudes toward seeking mental health services were tested using Pearson's correlation, ANOVA, t tests, and multiple regression. The results of the study showed that gender and education level were positively correlated and perceived social support was negatively correlated with attitudes toward seeking mental health services. As for the social change implications, this study adds to the body of the literature on multicultural counseling and may help mental health professionals provide culturally sensitive services to these relatively new immigrants. (PsycINFO Database Record (c) 2016 APA, all rights reserved)</t>
  </si>
  <si>
    <t>http://search.ebscohost.com.proxy-ub.rug.nl/login.aspx?direct=true&amp;db=psyh&amp;AN=2014-99141-162&amp;site=ehost-live&amp;scope=site</t>
  </si>
  <si>
    <t>Attitudes toward domestic violence and corporal punishment among former Soviet Union immigrants in Israel.</t>
  </si>
  <si>
    <t>Enosh, Guy; Leshem, Elazar; Buchbinder, Eli</t>
  </si>
  <si>
    <t>2016-43067-003</t>
  </si>
  <si>
    <t>10.1177/1077801215623382</t>
  </si>
  <si>
    <t>Attitudes; Immigration; Intimate Partner Violence; Punishment; Wives; Domestic Violence; Adulthood (18 yrs &amp; older); Young Adulthood (18-29 yrs); Thirties (30-39 yrs); Middle Age (40-64 yrs); Male; Female</t>
  </si>
  <si>
    <t>The study regards attitudes of Russian immigrants in Israel toward wife abuse and corporal punishment. The sample consisted of 1,028 participants, based on a multistage cluster sampling. The study used a questionnaire related to immigration, acculturation, and attitudinal issues. The findings indicate a dual-causal model, in which corporal punishment attitudes contribute to wife abuse attitudes and vice versa. However, the effect of attitudes supporting corporal punishment was stronger than the effect of wife abuse attitudes, indicating that the attitudinal system as a precursor of violent behavior is already merging the two types of violence. (PsycINFO Database Record (c) 2019 APA, all rights reserved)</t>
  </si>
  <si>
    <t>http://search.ebscohost.com.proxy-ub.rug.nl/login.aspx?direct=true&amp;db=psyh&amp;AN=2016-43067-003&amp;site=ehost-live&amp;scope=site</t>
  </si>
  <si>
    <t>Autonomy-connectedness in collectivistic cultures: An exploratory cross-cultural study among Portuguese natives, Cape-Verdean and Chinese people residing in Portugal.</t>
  </si>
  <si>
    <t>Moleiro, Carla; Ratinho, Inês; Bernardes, Sonia</t>
  </si>
  <si>
    <t>Personality and Individual Differences</t>
  </si>
  <si>
    <t>2016-48348-008</t>
  </si>
  <si>
    <t>10.1016/j.paid.2016.07.031</t>
  </si>
  <si>
    <t>Collectivism; Cross Cultural Differences; Indigenous Populations; Autonomy; Adulthood (18 yrs &amp; older); Young Adulthood (18-29 yrs); Thirties (30-39 yrs); Middle Age (40-64 yrs); Male; Female</t>
  </si>
  <si>
    <t>The present investigation focuses on a recent personality trait construct, Autonomy-connectedness. This concept has been proposed as a three-dimensional variable (self-awareness, sensitivity to others, and capacity to manage new situations), which intends to reflect a more gender- and culture- sensitive notion of autonomy rather than a value based on individualism and hegemonic masculinity. Two studies were conducted. Study I (N = 185) aimed to adapt the Autonomy-Connectedness Scale (ACS-30) to Portuguese and evaluate its three dimensions among a Portuguese sample. The subscales showed satisfactory reliability and overall results converge with previous studies on Autonomy-connectedness. Study II aimed to analyze and compare three different cultural groups, namely Portuguese natives and, Chinese and Cape Verdean immigrants residing in Portugal. A total of 90 participants (30 participants per nationality/cultural group) collaborated in the study. The findings suggest cultural differences in autonomy-connectedness, as well as a possible association between acculturation processes and autonomy-connectedness. This study extends to the support of autonomy-connectedness as a conceptually meaningful construct, with contributions to both gender and cross-cultural studies. (PsycInfo Database Record (c) 2020 APA, all rights reserved)</t>
  </si>
  <si>
    <t>http://search.ebscohost.com.proxy-ub.rug.nl/login.aspx?direct=true&amp;db=psyh&amp;AN=2016-48348-008&amp;site=ehost-live&amp;scope=site</t>
  </si>
  <si>
    <t>Autonomy–connectedness, self-construal, and acculturation: Associations with mental health in a multicultural society.</t>
  </si>
  <si>
    <t>Maas, J.; van Assen, M. A. L. M.; van Balkom, A. J. L. M.; Rutten, E. A. P.; Bekker, M. H. J.</t>
  </si>
  <si>
    <t>2018-65940-007</t>
  </si>
  <si>
    <t>10.1177/0022022118808924</t>
  </si>
  <si>
    <t>Acculturation; Anxiety; Eating Disorders; Major Depression; Multiculturalism; Adulthood (18 yrs &amp; older); Male; Female</t>
  </si>
  <si>
    <t>The present study investigated the associations between self-construal, acculturation, and autonomy–connectedness, as well as the relations between autonomy–connectedness and psychopathological symptoms, controlling for self-construal and acculturation. Participants were 1,209 Dutch individuals, of whom 693 (57.3%) were immigrants with a non-Western background. Results showed that an independent self-construal was positively associated with self-awareness and capacity for managing new situations, and was negatively associated with sensitivity to others (which are the three components of autonomy–connectedness). Moreover, an interdependent self-construal was negatively associated with self-awareness and capacity for managing new situations, and was positively associated with sensitivity to others. Importantly, the latter associations were similar for both Dutch natives and immigrants, and the associations between acculturation and autonomy–connectedness were small and nonsignificant. Autonomy–connectedness, after controlling for self-construal and acculturation, explained a large amount of additional variance in anxiety (12.7%) and depression (14.1), and a medium amount of additional variance in drive for thinness (3.7%) and bulimia (4.8%). Autonomy–connectedness, thus, seems to be an important construct for people with a Western background, as well as for immigrants with a non-Western background. (PsycINFO Database Record (c) 2019 APA, all rights reserved)</t>
  </si>
  <si>
    <t>http://search.ebscohost.com.proxy-ub.rug.nl/login.aspx?direct=true&amp;db=psyh&amp;AN=2018-65940-007&amp;site=ehost-live&amp;scope=site</t>
  </si>
  <si>
    <t>Back to and beyond Berry's basics: The conceptualization, operationalization and classification of acculturation.</t>
  </si>
  <si>
    <t>Ward, Colleen; Kus, Larissa</t>
  </si>
  <si>
    <t>2012-14917-001</t>
  </si>
  <si>
    <t>10.1016/j.ijintrel.2012.02.002</t>
  </si>
  <si>
    <t>Acculturation; Concept Formation; Racial and Ethnic Attitudes; Classification (Cognitive Process); Marginalization; Adolescence (13-17 yrs); Adulthood (18 yrs &amp; older); Young Adulthood (18-29 yrs); Thirties (30-39 yrs); Middle Age (40-64 yrs); Aged (65 yrs &amp; older); Very Old (85 yrs &amp; older); Male; Female</t>
  </si>
  <si>
    <t>Berry (1990) distinguished four acculturation attitudes (integration, assimilation, separation and marginalization) arising from two acculturation questions (concerning cultural maintenance and cultural contact). This research examines the distributions of acculturation attitudes based on his original cultural maintenance–cultural contact conceptualization and on a later cultural maintenance–cultural adoption model. In line with the Relative Extended Acculturation Model it also compares the outcomes of real (self-reported behavioral) and ideal (attitudinal) assessments of acculturation. Two hundred and eighty-nine first generation immigrants in New Zealand participated in the study. In line with the hypotheses, integration occurred more frequently when derived from cultural contact than from cultural adoption and when acculturation was framed in attitudinal, rather than behavioral, terms. The findings point to the necessity of clearly defining the dimensions of acculturation, ensuring they are appropriately operationalized, and differentiating attitudinal and self-reported behavioral measures. The consequences of the operationalization of acculturation for its relationship to adaptation are also reported and discussed. (PsycInfo Database Record (c) 2020 APA, all rights reserved)</t>
  </si>
  <si>
    <t>http://search.ebscohost.com.proxy-ub.rug.nl/login.aspx?direct=true&amp;db=psyh&amp;AN=2012-14917-001&amp;site=ehost-live&amp;scope=site</t>
  </si>
  <si>
    <t>Barrios and burbs: Residential context and health-risk behaviors among Angeleno adolescents.</t>
  </si>
  <si>
    <t>Frank, Reanne; Cerdá, Magdalena; Rendón, Maria</t>
  </si>
  <si>
    <t>Journal of Health and Social Behavior</t>
  </si>
  <si>
    <t>2007-15698-006</t>
  </si>
  <si>
    <t>10.1177/002214650704800306</t>
  </si>
  <si>
    <t>American Sociological Assn</t>
  </si>
  <si>
    <t>Health Behavior; Juvenile Delinquency; Urban Environments; Latinos/Latinas; Health Risk Behavior; Drug Abuse; Immigration; Neighborhoods; Poverty; Adolescence (13-17 yrs)</t>
  </si>
  <si>
    <t>The increasing size of the Latino immigrant population in the United States underscores the need for a more complete understanding of the role that social context plays in influencing the health of immigrants and their children. This analysis explores the possibility that residential location influences the health-risk behaviors of Latino youth in Los Angeles County, California. The data come from the Los Angeles Family and Neighborhood Survey. We apply multivariate, multilevel Rasch models to two scales of adolescent health-risk behaviors (substance use and delinquency). The findings suggest that residence in Census tracts characterized by above-county-average levels of Latinos and above-county-average levels of poverty is associated with increased odds of health-risk behaviors for Latino adolescents, particularly for those born in the United States. The findings lend support to the contention, put forth in the segmented assimilation literature, that disadvantaged urban contexts increase the risk that U.S.-born children of immigrants will experience downward assimilation. (PsycInfo Database Record (c) 2020 APA, all rights reserved)</t>
  </si>
  <si>
    <t>http://search.ebscohost.com.proxy-ub.rug.nl/login.aspx?direct=true&amp;db=psyh&amp;AN=2007-15698-006&amp;site=ehost-live&amp;scope=site</t>
  </si>
  <si>
    <t>Battling discrimination and social isolation: Psychological distress among Latino day laborers.</t>
  </si>
  <si>
    <t>Negi, Nalini Junko</t>
  </si>
  <si>
    <t>2013-05380-014</t>
  </si>
  <si>
    <t>10.1007/s10464-012-9548-0</t>
  </si>
  <si>
    <t>Distress; Mental Health; Social Discrimination; Social Isolation; Well Being; Latinos/Latinas; Adulthood (18 yrs &amp; older); Young Adulthood (18-29 yrs); Thirties (30-39 yrs); Middle Age (40-64 yrs); Aged (65 yrs &amp; older); Male</t>
  </si>
  <si>
    <t>[Correction Notice: An Erratum for this article was reported in Vol 51(1-2) of American Journal of Community Psychology (see record [rid]2013-05380-015[/rid]). In the original article, there was an error in the reference citation ‘‘Blinded Manuscript (2010)’’. The corrected reference citation is presented in the erratum as Negi, N. J. (2011). Exploring psychosocial stressors and protective factors related to the well-being of Latino day laborers. Journal of Immigrantand Minority Health, 13(4), 748–755.] Day labor is comprised of predominately male and recent Latino immigrants, mainly from Mexico and Central America who work in an unregulated and informal market. Three-quarters of the day labor force is undocumented and live under the federal poverty threshold as work is seasonal and highly contingent on the weather and the local economy. However, in spite of their exposure to significant health risks, little is known about the impact of Latino day laborers' (LDLs) work and life conditions on their mental health. This mixed methods study extends the literature by using the minority stress theoretical model to examine the relationship between discrimination and social isolation as well as participant identified protective factors such as religiosity and sending remittances with psychological distress. A quantitative survey with 150 LDLs was conducted and was followed by a qualitative member checking focus group to extend upon the quantitative results as well as the minority stress model with the lived experiences of these immigrant workers. Results reveal implications for prevention efforts with this hard-to-reach and marginalized population. (PsycINFO Database Record (c) 2017 APA, all rights reserved)</t>
  </si>
  <si>
    <t>http://search.ebscohost.com.proxy-ub.rug.nl/login.aspx?direct=true&amp;db=psyh&amp;AN=2013-05380-014&amp;site=ehost-live&amp;scope=site</t>
  </si>
  <si>
    <t>Behavioral acculturation, psychological acculturation, and psychological well-being across generations of Vietnamese immigrants and refugees.</t>
  </si>
  <si>
    <t>Le, Melinda H.</t>
  </si>
  <si>
    <t>1-B</t>
  </si>
  <si>
    <t>2005-99014-008</t>
  </si>
  <si>
    <t>Acculturation; Cross Cultural Differences; Immigration; Refugees; Vietnamese Cultural Groups; Human Sex Differences; Psychological Assessment; Religion; Well Being</t>
  </si>
  <si>
    <t>Past acculturation studies have used a bipolar model of acculturation. This study used a modified questionnaire consistent with a multidimensional model to examine behavioral acculturation, psychological acculturation and psychological well-being across generations of Vietnamese immigrants and refugees living in the U.S. Sociodemographic and migrant variables were used to investigate their relationships to behavioral and psychological acculturation toward the U.S. and Vietnamese dimensions and psychological well-being across generations of Vietnamese. Using a quasi-experimental design, data were collected from 590 Vietnamese immigrants and refugees living in the U.S. Multiple regression analyses were calculated to determine the amount of variance accounted for in behavioral and psychological acculturation toward the U.S. dimension and psychological well-being. Results suggested that sociodemographic variables of Income, Religion, Current Age, Education in the U.S., Education in Vietnam, and Gender, as well as migrant variables of Generational Status, Age of Arrival, and Reason for Migration were significant predictors of behavioral acculturation of the U.S. Dimension. Psychological acculturation of the U.S. dimension was also shown to be predictable by sociodemographic variables, such as Income, Education in Vietnam, and Occupation, and migrant variables that included Proportion of Life in the U.S. and Reason for Migration. Other results supported past research that first generation immigrants and refugees tended to practice more customs of the Vietnamese observable behaviors and are more likely to have similar values and preferences for the Vietnamese culture compared to individuals who were born in the U.S. or who entered at the U.S. before the age of 8. However, contrary to past research, the results showed no direct relationship between emotional distress and acculturation toward the Vietnamese culture. Consistent with a bipolar model, a negative relationship was detected between behavioral acculturation of the U.S. and Vietnamese dimensions. An unexpected outcome was observed in psychological acculturation, where a significant positive relationship occurred between the U.S. and Vietnamese dimensions. This phenomenon would not have been detected if it was assessed using a bipolar model assessment. (PsycINFO Database Record (c) 2016 APA, all rights reserved)</t>
  </si>
  <si>
    <t>http://search.ebscohost.com.proxy-ub.rug.nl/login.aspx?direct=true&amp;db=psyh&amp;AN=2005-99014-008&amp;site=ehost-live&amp;scope=site</t>
  </si>
  <si>
    <t>Behavioral and attitudes survey about Lyme disease among a Brazilian population in the endemic area of Martha’s Vineyard, Massachusetts.</t>
  </si>
  <si>
    <t>Heller, Jenny E.; Benito-Garcia, Elizabeth; Maher, Nancy E.; Chibnik, Lori B.; Maher, Colin P.; Shadick, Nancy A.</t>
  </si>
  <si>
    <t>2010-08843-012</t>
  </si>
  <si>
    <t>10.1007/s10903-008-9187-6</t>
  </si>
  <si>
    <t>Health Behavior; Health Promotion; Risk Perception; Lyme Disease; Health Risk Behavior; Symptoms; Tobacco Smoking; Adulthood (18 yrs &amp; older); Male; Female</t>
  </si>
  <si>
    <t>Disease prevention models have shown individuals are more likely to engage in precautionary behavior if they have confidence in their ability to identify disease symptoms and understand health risks. In immigrant populations, communicating the risks poses greater challenges since linguistic and cultural barriers may impede acceptance of the new behavior. The Brazilian population on Martha’s Vineyard, Massachusetts, is at high risk for Lyme disease (LD), the most common vector-borne illness in the United States largely preventable by limiting tick exposure. We surveyed 103 Brazilians on MV about their health beliefs and perceptions of LD risk and assessed their level of precautionary behaviors and the cultural factors influencing them. The population had only a moderate perception of risk and little understanding of LD. Forty-one percent did not think LD posed a risk, while 79% were not sure they could recognize symptoms. Accordingly, the population as a whole reported taking few precautions. (PsycInfo Database Record (c) 2020 APA, all rights reserved)</t>
  </si>
  <si>
    <t>http://search.ebscohost.com.proxy-ub.rug.nl/login.aspx?direct=true&amp;db=psyh&amp;AN=2010-08843-012&amp;site=ehost-live&amp;scope=site</t>
  </si>
  <si>
    <t>Being prepared for acculturation: On the importance of the first months after immigrants enter a new culture.</t>
  </si>
  <si>
    <t>Ramelli, Marcella; Florack, Arnd; Kosic, Ankica; Rohmann, Anette</t>
  </si>
  <si>
    <t>2013-26124-022</t>
  </si>
  <si>
    <t>10.1080/00207594.2012.656129</t>
  </si>
  <si>
    <t>Acculturation; Cross Cultural Communication; Friendship; Immigration; Society; Adulthood (18 yrs &amp; older); Male; Female</t>
  </si>
  <si>
    <t>We hypothesized that perceived communication effectiveness at arrival and initial friendships with members of the receiving society during the first months after arrival in a new country have a long-term effect on the development of acculturation orientations and that this effect is pronounced for individuals with a high need for cognitive closure (NCC). We examined the hypotheses in a study with Spanish-speaking immigrants in Switzerland (n = 146) and in Italy (n = 147). We asked participants to indicate their current attitude to contact with the receiving society and cultural maintenance and report retrospectively their perceived communication effectiveness at arrival and initial friendships. In line with the predictions, the perceptions of high communication effectiveness at arrival and friendships with members of the receiving society during the initial phase in the new culture were positively correlated with the current attitude to contact with the receiving society assessed 7 years after arrival on average. Also, initial friendships with members of the receiving society were negatively correlated with present cultural maintenance. Moreover, with an increase in NCC, these correlations increased. (PsycINFO Database Record (c) 2016 APA, all rights reserved)</t>
  </si>
  <si>
    <t>http://search.ebscohost.com.proxy-ub.rug.nl/login.aspx?direct=true&amp;db=psyh&amp;AN=2013-26124-022&amp;site=ehost-live&amp;scope=site</t>
  </si>
  <si>
    <t>Being 'them' and 'us' at the same time? Subgroups of cultural identification change among adolescent diaspora immigrants.</t>
  </si>
  <si>
    <t>Stoessel, Katharina; Titzmann, Peter F.; Silbereisen, Rainer K.</t>
  </si>
  <si>
    <t>2014-28265-006</t>
  </si>
  <si>
    <t>10.1177/0022022114534770</t>
  </si>
  <si>
    <t>Acculturation; Adolescent Attitudes; Cross Cultural Differences; Culture Change; Immigration; Membership; Childhood (birth-12 yrs); School Age (6-12 yrs); Adolescence (13-17 yrs); Adulthood (18 yrs &amp; older); Young Adulthood (18-29 yrs); Male; Female</t>
  </si>
  <si>
    <t>Recent research suggests that cultural groups comprise subgroups differing in the combination of their self-identifications with their heritage and host cultures and following distinct trajectories of acculturation. This study aimed at identifying such subgroups, predicting group membership by pre-migration factors, and testing for acculturation-related experiences with the host culture over time. The sample comprised 366 adolescent diaspora migrants (59% female, 16 years old) from the former Soviet Union to Germany. A person-oriented and longitudinal approach using growth mixture modeling revealed three subtypes of cultural identification change. The first subgroup (Idealists) comprised adolescents with high and stable identification with their host culture and low but increasing identification with their heritage culture. The second group (Skeptics) showed low and stable identification with their host culture and high but decreasing identification with their heritage culture. The third group (Realists) reported medium-level and stable identification with both host and heritage cultures. Group comparisons showed pre-migration differences: Idealists and Realists most likely spoke the host-culture language (i.e., German) as a native language and Idealists reported the highest level of maternal education. Membership in subgroups also related to adolescents’ perception of their current situation in the host culture: Idealists reported less acculturation-related hassles with respect to language and socio-cultural adaptation. Skeptics perceived lower expectations by natives to get in contact with natives and higher expectations to spend time with members of their immigrant group than the average immigrant. Results highlight the heterogeneity in immigrant populations and their specific needs before and after the actual migration. (PsycINFO Database Record (c) 2018 APA, all rights reserved)</t>
  </si>
  <si>
    <t>http://search.ebscohost.com.proxy-ub.rug.nl/login.aspx?direct=true&amp;db=psyh&amp;AN=2014-28265-006&amp;site=ehost-live&amp;scope=site</t>
  </si>
  <si>
    <t>Beliefs about causes, symptoms, and stigma associated with severe mental illness among 'highly acculturated' Chinese-American patients.</t>
  </si>
  <si>
    <t>Lin, Susan Y.</t>
  </si>
  <si>
    <t>2013-42012-003</t>
  </si>
  <si>
    <t>10.1177/0020764012454384</t>
  </si>
  <si>
    <t>Acculturation; Chinese Cultural Groups; Mental Disorders; Mental Illness (Attitudes Toward); Stigma; Immigration; Serious Mental Illness; Adulthood (18 yrs &amp; older); Young Adulthood (18-29 yrs); Thirties (30-39 yrs); Middle Age (40-64 yrs); Aged (65 yrs &amp; older); Male; Female</t>
  </si>
  <si>
    <t>Background: Literature about experiences of mental illness among ethnic minority has tended to focus on first-generation migrants. This study fills that gap by exploring experiences among highly acculturated Chinese-American patients with mental illness. Materials: Twenty-nine participants completed semi-structured interviews based on Kleinman’s explanatory model, which were audio-taped, transcribed and coded for qualitative analysis. Discussion: Beliefs about the causes of mental illness included biological factors, head trauma and personal losses. Issues relating to stigma and shame were also discussed. Conclusion: Highly acculturated ethnic minority patients may ascribe to a biomedical model at the same time as ascribing to culture-specific beliefs. (PsycInfo Database Record (c) 2020 APA, all rights reserved)</t>
  </si>
  <si>
    <t>http://search.ebscohost.com.proxy-ub.rug.nl/login.aspx?direct=true&amp;db=psyh&amp;AN=2013-42012-003&amp;site=ehost-live&amp;scope=site</t>
  </si>
  <si>
    <t>Beliefs and practices regarding Alzheimer's disease and related dementias among Filipino home care workers in Israel.</t>
  </si>
  <si>
    <t>Ayalon, Liat</t>
  </si>
  <si>
    <t>2009-08488-017</t>
  </si>
  <si>
    <t>10.1080/13607860802534625</t>
  </si>
  <si>
    <t>Alzheimer's Disease; Caregivers; Dementia; Elder Care; Home Care; Attitudes; Adulthood (18 yrs &amp; older); Young Adulthood (18-29 yrs); Thirties (30-39 yrs); Middle Age (40-64 yrs); Male; Female</t>
  </si>
  <si>
    <t>Background: In the past few decades, foreign home care to frail older adults has become a common alternative to family care in many developed countries. Whereas Alzheimer’s disease and related dementias (ADRD) are common conditions in this population of frail older adults, little is known about the beliefs of foreign home care workers about ADRD or about their practices. Methods: A mixed-methods design was conducted in 2006–2007 in Israel. The study included a survey of beliefs about ADRD completed by 184 Filipino home care workers and qualitative interviews with 29 Filipino home care workers. Results: On seven of the 14 belief items, more than 30% of the workers were in discordance with scientific view about ADRD. Those workers who were not informed about the care recipient’s medical conditions were more likely to report beliefs that were inconsistent with current scientific knowledge. In qualitative interviews, Filipino home care workers reported using intuitively behavioral techniques when caring for older adults with ADRD. Conclusions: Despite the fact that some of the workers’ beliefs are inconsistent with current scientific view, their actual intuitive practices are consistent with the scientific paradigm. Specific emphasis has to be placed on encouraging workers’ intuitive approach to ADRD and providing workers with ample information about the medical conditions and needs of the care recipient. (PsycINFO Database Record (c) 2016 APA, all rights reserved)</t>
  </si>
  <si>
    <t>http://search.ebscohost.com.proxy-ub.rug.nl/login.aspx?direct=true&amp;db=psyh&amp;AN=2009-08488-017&amp;site=ehost-live&amp;scope=site</t>
  </si>
  <si>
    <t>Belonging and adapting: Mental health of Bosnian refugees living in the United States.</t>
  </si>
  <si>
    <t>Keyes, Emily F.; Kane, Catherine F.</t>
  </si>
  <si>
    <t>2004-20182-005</t>
  </si>
  <si>
    <t>10.1080/01612840490506392</t>
  </si>
  <si>
    <t>Culture Shock; Immigration; Life Experiences; Mental Health; Refugees; Acculturation; Cross Cultural Differences; Belonging; Female</t>
  </si>
  <si>
    <t>The purpose of this study was to elucidate the experience of Bosnian refugees currently living in the United States. Using a phenomenological method, seven adult female Bosnian refugees each participated in an audio-recorded interview lasting from one to two hours. Two major themes emerged from the analyses of the text: belonging and adapting. Belonging included concepts of cultural memory, identity and difference, empathy and reciprocity, and perfection of speech. Adapting focused on coping with transitions, coping with memories of past and attendant losses, coping with accepting a new culture while trying to fit into the new culture, and learning the new language perfectly. Implicit in the refugees' experiences were states of culture shock, loneliness, psychic numbness, grief, nostalgia, and feelings of dejection, humiliation, inferiority, and feeling as if they belonged nowhere. Simultaneously, the refugees reported feelings of relief and safety after leaving behind the threat of death in their old homes, feelings of gratefulness for their new freedom to hope for a better life, and their restored ability to notice beauty, as well as a sense of normalcy in their new lives. Recommendations for nursing research include the need to identify additional factors promoting successful belonging and adapting in refugees. Recommendations for nursing practice include the importance of adopting a perspective that is respectful of the uniqueness of each refugee and the necessity for recognizing the normal processes of refugee adaptation. (PsycINFO Database Record (c) 2016 APA, all rights reserved)</t>
  </si>
  <si>
    <t>http://search.ebscohost.com.proxy-ub.rug.nl/login.aspx?direct=true&amp;db=psyh&amp;AN=2004-20182-005&amp;site=ehost-live&amp;scope=site</t>
  </si>
  <si>
    <t>Benefits of visiting a multicultural festival: The case of South Korea.</t>
  </si>
  <si>
    <t>Lee, Insun; Arcodia, Charles; Lee, Timothy Jeonglyeol</t>
  </si>
  <si>
    <t>Tourism Management</t>
  </si>
  <si>
    <t>2011-27470-012</t>
  </si>
  <si>
    <t>10.1016/j.tourman.2011.04.001</t>
  </si>
  <si>
    <t>Social Integration; Tourism; Multiculturalism; Adulthood (18 yrs &amp; older); Thirties (30-39 yrs); Male; Female</t>
  </si>
  <si>
    <t>This paper investigates the visitor benefits gained from attending a multicultural festival in South Korea. It aims to improve the understanding of such festivals, and explore the contribution of multicultural festivals to building multicultural societies. Four key factors were identified in terms of benefits gained: transformational, cognitive, social, and affective benefits. Differences were found between the visitor benefits of the dominant population and those of migrants. The findings may assist stakeholders to better understand how multicultural festivals contribute to social harmony and social integration, particularly in countries experiencing significant shifts in ethnic composition. (PsycINFO Database Record (c) 2016 APA, all rights reserved)</t>
  </si>
  <si>
    <t>http://search.ebscohost.com.proxy-ub.rug.nl/login.aspx?direct=true&amp;db=psyh&amp;AN=2011-27470-012&amp;site=ehost-live&amp;scope=site</t>
  </si>
  <si>
    <t>Between synergy and travesty: A sexual risk syndemic among pregnant Latina immigrant and non-immigrant adolescents.</t>
  </si>
  <si>
    <t>Martinez, Isabel; Kershaw, Trace S.; Lewis, Jessica B.; Stasko, Emily C.; Tobin, Jonathan N.; Ickovics, Jeannette R.</t>
  </si>
  <si>
    <t>AIDS and Behavior</t>
  </si>
  <si>
    <t>2016-31665-001</t>
  </si>
  <si>
    <t>10.1007/s10461-016-1461-3</t>
  </si>
  <si>
    <t>Adolescent Pregnancy; Immigration; Sexual Risk Taking; Reproductive Health; Latinos/Latinas; Human Females; Adolescence (13-17 yrs); Female</t>
  </si>
  <si>
    <t>Substance use, intimate partner violence, and depression contribute to sexual risk individually, yet have not been evaluated as a syndemic for adolescents. Using data from 772 pregnant Latina adolescents, we evaluated these factors as a syndemic and tested the moderating role of immigration. Bivariate analyses showed syndemic score (OR = 1.40, p = 0.02) and severity (OR = 1.68, p = 0.006) were predictors for multiple sex partners, and syndemic score predicting STIs (OR = 1.15, p = 0.05). Syndemic severity remained significant in multivariate analyses for multiple sex partners (OR = 1.53, p = 0.04). Moderation analyses showed higher syndemic severity was associated with more condom use among immigrants (OR = 1.75, p = 0.04) and less condom use (OR = 0.07, p = 0.011) among those with separated orientation. Higher syndemic severity also predicted greater odds for multiple partners (OR = 2.40, p = 0.01) among immigrants. This evidence suggests a sexual risk syndemic exists among Latina adolescents. Research should continue exploring this phenomenon, particularly exploring the role immigration plays for sexual health. (PsycINFO Database Record (c) 2017 APA, all rights reserved)</t>
  </si>
  <si>
    <t>http://search.ebscohost.com.proxy-ub.rug.nl/login.aspx?direct=true&amp;db=psyh&amp;AN=2016-31665-001&amp;site=ehost-live&amp;scope=site</t>
  </si>
  <si>
    <t>Between two worlds? Value preferences of immigrants compared to local-born populations in the receiving country and in the country of origin.</t>
  </si>
  <si>
    <t>Tartakovsky, Eugene; Walsh, Sophie D.; Patrakov, Eduard; Nikulina, Marina</t>
  </si>
  <si>
    <t>2017-26324-003</t>
  </si>
  <si>
    <t>10.1177/0022022117709534</t>
  </si>
  <si>
    <t>Acculturation; Immigration; Stress; Values; Adulthood (18 yrs &amp; older); Male; Female</t>
  </si>
  <si>
    <t>In the present study, we investigate value preferences of immigrants, comparing them with local-born populations in the receiving country and in the immigrants’ country of origin. In addition, we test the effect of time in the receiving country on the value preferences of immigrants. Three groups of respondents took part in the study: Israeli-born Jews (n = 1,082), immigrants from the Former Soviet Union in Israel (n = 237), and Jews living in Russia (n = 935). Differences in value preferences between the groups and their relationship with time in country in the immigrants’ value preferences were hypothesized on the basis of four psychological mechanisms: premigration formation of values and their preservation in the new country, self-selection of immigrants, acculturation (classical and paradoxical), and a reaction to the stress of adjustment in the new country. The results obtained demonstrated that the value system of immigrants in general was different from the value system of the nonimmigrant populations in both the country of origin and in the receiving country. When comparing immigrants and two other populations in each of the 19 basic values separately, it was found that immigrants reported higher levels of power dominance, power resources, and security social values, and lower levels of values of universalism tolerance, universalism concern, benevolence dependability, and self-direction thought than both the other groups. Results mainly corroborated what we have termed a Stress Reaction Value Constellation model. Adjustment difficulties encountered by immigrants in the receiving country and their survival needs may explain the specific pattern of value preferences found among immigrants. (PsycINFO Database Record (c) 2018 APA, all rights reserved)</t>
  </si>
  <si>
    <t>http://search.ebscohost.com.proxy-ub.rug.nl/login.aspx?direct=true&amp;db=psyh&amp;AN=2017-26324-003&amp;site=ehost-live&amp;scope=site</t>
  </si>
  <si>
    <t>Beyond acculturation: Multiculturalism and the institutional shaping of an ethnic consumer subject.</t>
  </si>
  <si>
    <t>Veresiu, Ela; Giesler, Markus</t>
  </si>
  <si>
    <t>Journal of Consumer Research</t>
  </si>
  <si>
    <t>2019-23349-005</t>
  </si>
  <si>
    <t>10.1093/jcr/ucy019</t>
  </si>
  <si>
    <t>Acculturation; Consumer Psychology; Multiculturalism; Ethics; Colonialism; Adolescence (13-17 yrs); Adulthood (18 yrs &amp; older); Young Adulthood (18-29 yrs); Thirties (30-39 yrs); Middle Age (40-64 yrs); Aged (65 yrs &amp; older); Female</t>
  </si>
  <si>
    <t>Prior consumer research has investigated the consumer behavior, identity work, and sources of ethnic group conflict among various immigrants and indigenes. However, by continuing to focus on consumers’ lived experiences, researchers lack theoretical clarity on the institutional shaping of these individuals as ethnic consumers, which has important implications for sustaining neocolonial power imbalances between colonized (immigrant-sending) and colonizing (immigrant-receiving) cultures. We bring sociological theories of neoliberal governmentality and multiculturalism to bear on an in-depth analysis of the contemporary Canadian marketplace to reveal our concept of market-mediated multiculturation, which we define as an institutional mechanism for attenuating ethnic group conflicts through which immigrant-receiving cultures fetishize strangers and their strangeness in their commodification of differences, and the existence of inequalities between ethnicities is occluded. Specifically, our findings unpack four interrelated consumer socialization strategies (envisioning, exemplifying, equipping, and embodying) through which institutional actors across different fields (politics, market research, retail, and consumption) shape an ethnic consumer subject. We conclude with a critical discussion of extant scholarship on consumer acculturation as being complicit in sustaining entrenched colonialist biases. (PsycINFO Database Record (c) 2019 APA, all rights reserved)</t>
  </si>
  <si>
    <t>http://search.ebscohost.com.proxy-ub.rug.nl/login.aspx?direct=true&amp;db=psyh&amp;AN=2019-23349-005&amp;site=ehost-live&amp;scope=site</t>
  </si>
  <si>
    <t>Beyond English proficiency: Rethinking immigrant integration.</t>
  </si>
  <si>
    <t>Akresh, Ilana Redstone; Massey, Douglas S.; Frank, Reanne</t>
  </si>
  <si>
    <t>Social Science Research</t>
  </si>
  <si>
    <t>2014-07958-015</t>
  </si>
  <si>
    <t>10.1016/j.ssresearch.2014.01.005</t>
  </si>
  <si>
    <t>Immigration; Language Proficiency; Occupational Status; Concept Formation; Adulthood (18 yrs &amp; older); Male; Female</t>
  </si>
  <si>
    <t>We develop and test a conceptual model of English language acquisition and the strength of the latter in predicting social and cultural assimilation. We present evidence that the path to English proficiency begins with exposure to English in the home country and on prior U.S. trips. English proficiency, then, has direct links to the intermediate migration outcomes of occupational status in the U.S., the amount of time in the U.S. since the most recent trip, and the co-ethnic residential context in the U.S. In turn, pre-migration characteristics and the intermediate characteristics work in tandem with English proficiency to determine social assimilation in the U.S., while cultural assimilation is primarily determined by pre-migration habits. A shift in focus to English use is desirable in studies of immigrant integration. (PsycINFO Database Record (c) 2017 APA, all rights reserved)</t>
  </si>
  <si>
    <t>http://search.ebscohost.com.proxy-ub.rug.nl/login.aspx?direct=true&amp;db=psyh&amp;AN=2014-07958-015&amp;site=ehost-live&amp;scope=site</t>
  </si>
  <si>
    <t>Bicultural orientation and Chinese language learning among South Asian ethnic minority students in Hong Kong.</t>
  </si>
  <si>
    <t>Lai, Chun; Gao, Fang; Wang, Qiu</t>
  </si>
  <si>
    <t>2014-55988-005</t>
  </si>
  <si>
    <t>10.1080/13670050.2014.887054</t>
  </si>
  <si>
    <t>Educational Programs; Foreign Language Learning; Learning Strategies; Racial and Ethnic Differences; Sociocultural Factors; Cross Cultural Differences; High School Students; Language; South Asian Cultural Groups; Cultural Identity; Adolescence (13-17 yrs); Male; Female</t>
  </si>
  <si>
    <t>Understanding the value of monocultural acculturation orientation to the host culture (assimilation) and bicultural acculturation orientation (integration) for language learning is critical in guiding educational policy and practices for immigrant students. This study aimed to enhance our understanding on the relationship between acculturation orientation and second language (L2) learning. It generated two conceptual models to describe how cultural identification affects language learning as hypothesized in different theories on identity and L2 learning and tested these two hypothesized models in the immigration context of Hong Kong. A survey was conducted among a group of senior high school South Asian minority students on their learning of the language of the host culture, Chinese, to provide the basis for comparison. It was found that the students mainly adopted the bicultural/integration orientation and that bicultural orientation was the optimal acculturation orientation for learning Chinese. Bicultural orientation influenced the participants' Chinese language learning outcome through impacting psychosocial well-being and engagement with the target language and community. The findings suggest that we need to take both linguistic and psychosocial adjustment factors into consideration when conceptualizing the role of identity in L2 learning. Furthermore, this study cautions us against a context-independent stance toward the utility of assimilation for language learning. (PsycInfo Database Record (c) 2020 APA, all rights reserved)</t>
  </si>
  <si>
    <t>http://search.ebscohost.com.proxy-ub.rug.nl/login.aspx?direct=true&amp;db=psyh&amp;AN=2014-55988-005&amp;site=ehost-live&amp;scope=site</t>
  </si>
  <si>
    <t>Bicultural stress, identity formation, and alcohol expectancies and misuse in Hispanic adolescents: A developmental approach.</t>
  </si>
  <si>
    <t>Oshri, Assaf; Schwartz, Seth J.; Unger, Jennifer B.; Kwon, Josephine A.; Des Rosiers, Sabrina E.; Baezconde-Garbanati, Lourdes; Lorenzo-Blanco, Elma I.; Córdova, David; Soto, Daniel W.; Lizzi, Karina M.; Villamar, Juan A.; Szapocznik, José</t>
  </si>
  <si>
    <t>2014-38815-001</t>
  </si>
  <si>
    <t>10.1007/s10964-014-0171-2</t>
  </si>
  <si>
    <t>Adolescent Development; At Risk Populations; Risk Taking; Stress; Underage Drinking; Immigration; Latinos/Latinas; Adolescence (13-17 yrs); Male; Female</t>
  </si>
  <si>
    <t>Hispanic immigrant youth engage in increased health risk behaviors, such as alcohol misuse, due in part to being confronted with acculturative stress in addition to facing major normative developmental challenges, such as identity consolidation (Berry et al. in Appl Psychol 55:303–332, 2006). Using a developmental psychopathology framework, in the present study we examined the effect of bicultural stress on alcohol misuse among immigrated Hispanic adolescents, indirectly through trajectories of identity formation and alcohol expectancies. Our sample consisted of 302 recently immigrated Hispanic adolescents (53 % male; Mage = 14.5 at baseline) who were interviewed every 6 months for 3 years. Bivariate growth curve modeling was used to examine the influence of initial early bicultural stress on later alcohol misuse via change in identity development (i.e., coherence and confusion) and subsequent growth in cognitive alcohol expectancies. Findings revealed that initial levels and growth of identity coherence were not significantly associated with either bicultural stress or tension reduction (TR) alcohol expectancies. Multiple mediation analyses indicated that the effect of bicultural stress at time 1 on the frequency of being drunk at time 6 was mediated via high initial levels of identity confusion, followed by growth in risky TR expectancies (T4–T6). A developmental approach to the genesis of alcohol use problems in immigrant youth is discussed. (PsycInfo Database Record (c) 2020 APA, all rights reserved)</t>
  </si>
  <si>
    <t>http://search.ebscohost.com.proxy-ub.rug.nl/login.aspx?direct=true&amp;db=psyh&amp;AN=2014-38815-001&amp;site=ehost-live&amp;scope=site</t>
  </si>
  <si>
    <t>Biculturalism and adjustment: A meta-analysis.</t>
  </si>
  <si>
    <t>Nguyen, Angela-MinhTu D.; Benet-Martínez, Verónica</t>
  </si>
  <si>
    <t>2012-33261-008</t>
  </si>
  <si>
    <t>10.1177/0022022111435097</t>
  </si>
  <si>
    <t>Acculturation; Social Processes; Multiculturalism; Adjustment</t>
  </si>
  <si>
    <t>Biculturalism (having two cultures) is a growing social phenomenon that has received considerable attention in psychology in the last decade; however, the issue of what impact (if any) biculturalism has on individuals’ adjustment remains empirically unclear. To answer this question, we conducted a meta-analysis that included 83 studies, 322 rs, and 23,197 participants. Results based on the random-effects approach show a significant, strong, and positive association between biculturalism and adjustment (both psychological and sociocultural). This biculturalism-adjustment link is stronger than the association between having one culture (dominant or heritage) and adjustment. Thus, our results clearly invalidate early sociological accounts of this phenomenon, which portrayed bicultural individuals as 'marginal' and stumped between two worlds. Analyses also indicate that the association between biculturalism and adjustment is moderated by how acculturation is measured, the adjustment domain, and sample characteristics. (PsycInfo Database Record (c) 2020 APA, all rights reserved)</t>
  </si>
  <si>
    <t>http://search.ebscohost.com.proxy-ub.rug.nl/login.aspx?direct=true&amp;db=psyh&amp;AN=2012-33261-008&amp;site=ehost-live&amp;scope=site</t>
  </si>
  <si>
    <t>Biculturality and HIV-risk behaviors among Puerto Rican drug users in New York city.</t>
  </si>
  <si>
    <t>Kang, Sung-Yeon; Deren, Sherry; Mino, Milton; Cortés, Dharma E.</t>
  </si>
  <si>
    <t>Substance Use &amp; Misuse</t>
  </si>
  <si>
    <t>2009-05140-009</t>
  </si>
  <si>
    <t>10.1080/10826080802487341</t>
  </si>
  <si>
    <t>Drug Abuse; HIV; Intravenous Drug Usage; Risk Taking; Multiculturalism; Adulthood (18 yrs &amp; older); Male; Female</t>
  </si>
  <si>
    <t>Biculturality refers to two independent processes of acculturation, one to the host society's culture and another to the culture of origin. This study examined the relationship between biculturality and HIV-related risk behaviors in a sample of injecting and non injecting Puerto Rican drug users (N = 259), recruited in New York City in 2005-2006. Biculturality was measured by two scales: involvement in (i) American culture (AMBIC) and (ii) Puerto Rican culture Biculturality (PRBIC). The majority (78%) of the participants were males, with a mean age of 42 years. About half were born in Puerto Rico, and the average length of stay in the United States was 26 years. In multiple logistic-regression analysis, AMBIC was significantly related to lower injection risk after controlling for other factors including gender, age, and MMTP enrollment, while PRBIC was a significant predictor of higher sex risk. Involvement in the host culture and the culture of origin differed in their relationship to risk behaviors, indicating that incorporating assessments of biculturality may be useful in assessing and addressing migrants' behaviors, including HIV-risk behaviors. The study's limitations have been noted. (PsycINFO Database Record (c) 2016 APA, all rights reserved)</t>
  </si>
  <si>
    <t>http://search.ebscohost.com.proxy-ub.rug.nl/login.aspx?direct=true&amp;db=psyh&amp;AN=2009-05140-009&amp;site=ehost-live&amp;scope=site</t>
  </si>
  <si>
    <t>Bi-dimensional acculturation and cultural response set in CES-D among Korean immigrants.</t>
  </si>
  <si>
    <t>Kim, Eunjung; Seo, Kumin; Cain, Kevin C.</t>
  </si>
  <si>
    <t>2010-17312-005</t>
  </si>
  <si>
    <t>10.3109/01612840.2010.483566</t>
  </si>
  <si>
    <t>Acculturation; Cross Cultural Differences; Depression (Emotion); Immigration; Symptoms; Adulthood (18 yrs &amp; older); Male; Female</t>
  </si>
  <si>
    <t>This study examined a cultural response set to positive affect items and depressive symptom items in CES-D among 172 Korean immigrants. Bi-dimensional acculturation approach, which considers maintenance of Korean Orientation and adoption of American Orientation, was utilized. As Korean immigrants increased their American Orientation, they tended to score higher on positive affect items, with no changes occurring in depressive symptom items. Korean Orientation was not related to either positive affect items or depressive symptom items. Korean immigrants have a response bias toward positive affect items in CES-D, which decreases as they adopt more American Orientation. CES-D lacks cultural equivalence for Korean immigrants. (PsycINFO Database Record (c) 2016 APA, all rights reserved)</t>
  </si>
  <si>
    <t>http://search.ebscohost.com.proxy-ub.rug.nl/login.aspx?direct=true&amp;db=psyh&amp;AN=2010-17312-005&amp;site=ehost-live&amp;scope=site</t>
  </si>
  <si>
    <t>Bidimensional acculturation and psychological distress in Pakistani immigrant women in Norway: A cross-sectional study.</t>
  </si>
  <si>
    <t>Hjellset, Victoria Telle; Ihlebæk, Camilla</t>
  </si>
  <si>
    <t>2019-21747-010</t>
  </si>
  <si>
    <t>10.1007/s10903-018-0764-z</t>
  </si>
  <si>
    <t>Acculturation; Distress; Immigration; Mental Health; Self-Efficacy; Risk Factors; Adulthood (18 yrs &amp; older); Young Adulthood (18-29 yrs); Thirties (30-39 yrs); Middle Age (40-64 yrs); Aged (65 yrs &amp; older); Female</t>
  </si>
  <si>
    <t>Immigrants from South Asia have higher risks of mental health problems . Low levels of acculturation and self-efficacy may be risk factors for depression and psychological distress in immigrants. 355 Pakistani immigrant women in Oslo, filled out a questionnaire concerning demographic variables, self-efficacy, and psychological distress. A bidimensional acculturation variable was constructed. A stepwise logistic regression model was used to investigate the importance of the level of acculturation and self-efficacy on psychological distress. Low levels of acculturation were reported. Integrated participants reported significantly less psychological distress on the depression score and total score than separated and marginalized participants. The model showed that assimilated or marginalized participants had a fourth and three times higher risk of high levels of distress compared with integrated participants. The possibility to be bicultural seems important in order to ensure mental health and national policies should promote an integrative and multiculturalism approach. (PsycInfo Database Record (c) 2020 APA, all rights reserved)</t>
  </si>
  <si>
    <t>http://search.ebscohost.com.proxy-ub.rug.nl/login.aspx?direct=true&amp;db=psyh&amp;AN=2019-21747-010&amp;site=ehost-live&amp;scope=site</t>
  </si>
  <si>
    <t>Birds of a feather flock together — And fall ill? Migrant homophily and health in Sweden.</t>
  </si>
  <si>
    <t>Rostila, Mikael</t>
  </si>
  <si>
    <t>Sociology of Health &amp; Illness</t>
  </si>
  <si>
    <t>2010-06316-003</t>
  </si>
  <si>
    <t>10.1111/j.1467-9566.2009.01196.x</t>
  </si>
  <si>
    <t>Health; Human Migration; Social Networks; Health Disparities; Adulthood (18 yrs &amp; older); Young Adulthood (18-29 yrs); Thirties (30-39 yrs); Middle Age (40-64 yrs); Aged (65 yrs &amp; older); Male; Female</t>
  </si>
  <si>
    <t>Although studies show that health inequities between ethnic groups exist, few have expressed interest in the origins of these disparities. As homophily (the phenomenon that people principally form relationships with those who are similar to them) influences people’s norms and interactions, it might be an important property of migrants’ networks, and have implications on their health. The aim of this study is to examine health inequities between natives and immigrants in Sweden and the health consequences arising from participation in homogenous migrant networks. Using total population registers and representative survey data initial analyses show that migrants experience poorer health than native Swedes. The findings further suggest that homophily is a prominent feature of migrant social networks and that migrants in networks with a high proportion of other migrants experience poorer health than those who include a high proportion of natives in their networks. However, unhealthy behaviour and disadvantaged social conditions may account for a considerable share of their excess risk. Hence, network closure may reinforce and maintain norms leading to negative behaviour and social conditions in such networks. (PsycINFO Database Record (c) 2016 APA, all rights reserved)</t>
  </si>
  <si>
    <t>http://search.ebscohost.com.proxy-ub.rug.nl/login.aspx?direct=true&amp;db=psyh&amp;AN=2010-06316-003&amp;site=ehost-live&amp;scope=site</t>
  </si>
  <si>
    <t>Birthweight of children of immigrants by maternal duration of residence in the United States.</t>
  </si>
  <si>
    <t>Teitler, Julien O.; Hutto, Nathan; Reichman, Nancy E.</t>
  </si>
  <si>
    <t>2012-14932-004</t>
  </si>
  <si>
    <t>10.1016/j.socscimed.2012.03.038</t>
  </si>
  <si>
    <t>Birth Weight; Ethnic Identity; Immigration; Mother Child Relations; Adulthood (18 yrs &amp; older)</t>
  </si>
  <si>
    <t>A large literature on immigrant health in the U.S. has shown that immigrants tend to be healthier and live longer than both individuals who remain in their countries of origin and natives of their host countries who are of the same race or ethnicity. However, this immigrant health advantage appears to diminish with duration of residence in the U.S. Few studies of the effects of immigrants’ exposure to the U.S. have focused on perinatal health. This study used three contemporary national datasets to describe patterns in infant birth weight by maternal duration of residence in the U.S. For both immigrants overall and Hispanic immigrants in particular, rates of low birth weight appeared to decline over the first few years in the U.S. and increase thereafter. This curvilinear association was robust across the three datasets and deviates somewhat from the prevailing notion that immigrant health declines monotonically over time. Additionally, we found no evidence that prenatal substance use increased with duration of residence in the U.S. (PsycINFO Database Record (c) 2016 APA, all rights reserved)</t>
  </si>
  <si>
    <t>http://search.ebscohost.com.proxy-ub.rug.nl/login.aspx?direct=true&amp;db=psyh&amp;AN=2012-14932-004&amp;site=ehost-live&amp;scope=site</t>
  </si>
  <si>
    <t>Body image, assimilation, and weight of immigrant adolescents in the United States: A person-centered analysis.</t>
  </si>
  <si>
    <t>McCullough, Mary Beth; Pieloch, Kerrie A.; Marks, Amy K.</t>
  </si>
  <si>
    <t>2020-19017-005</t>
  </si>
  <si>
    <t>10.1007/s10903-019-00892-8</t>
  </si>
  <si>
    <t>Acculturation; Adolescent Development; Body Image; Immigration; Self-Concept; Dissatisfaction; Stress; Childhood (birth-12 yrs); School Age (6-12 yrs); Adolescence (13-17 yrs); Adulthood (18 yrs &amp; older); Young Adulthood (18-29 yrs); Male; Female</t>
  </si>
  <si>
    <t>Adolescence is a critical developmental period as youth explore their body image and work to establish an identity. The stress of identity and body image development can be exacerbated by acculturative stress faced by immigrant adolescents. Using a person-centered analysis, we investigated immigrant adolescents’ (n = 57) profiles based on assimilation to the United States (US), weight, and body image dissatisfaction. Analyses included an exploratory two-step clustering technique using maximum likelihood estimation procedures to assign class membership. Follow-up analyses then examined latent class membership by adolescent age, gender, culture of origin, and immigration generation. Results indicated several meaningful latent groups of adolescents based on their BID, acculturation, and BMI. These profiles included one in which adolescents who were underweight and more assimilated to US culture also reported more satisfaction with their body image. A second profile emerged of adolescents who were normal weight or overweight and less assimilated, who also reported higher levels of body image dissatisfaction, with a desire to be thinner. The third cluster profile included adolescents who were of normal weight, but were higher on assimilation and were among the most dissatisfied with their body image. Our findings suggest that immigrant adolescents at all levels of acculturation are internalizing the thin body ideal prominent in the US, with a variety of implications for their sense of body image and BMI. Implications for mental and physical health care for immigrant adolescents are discussed. (PsycInfo Database Record (c) 2020 APA, all rights reserved)</t>
  </si>
  <si>
    <t>http://search.ebscohost.com.proxy-ub.rug.nl/login.aspx?direct=true&amp;db=psyh&amp;AN=2020-19017-005&amp;site=ehost-live&amp;scope=site</t>
  </si>
  <si>
    <t>Body satisfaction and pressure to be thin in younger and older Muslim and non-Muslim women: The role of Western and non-Western dress preferences.</t>
  </si>
  <si>
    <t>Dunkel, Trisha M.; Davidson, Denise; Qurashi, Shaji</t>
  </si>
  <si>
    <t>2009-23176-001</t>
  </si>
  <si>
    <t>10.1016/j.bodyim.2009.10.003</t>
  </si>
  <si>
    <t>Age Differences; Body Image; Clothing; Cross Cultural Differences; Muslims; Body Weight; Peer Pressure; Satisfaction; Adulthood (18 yrs &amp; older); Young Adulthood (18-29 yrs); Thirties (30-39 yrs); Middle Age (40-64 yrs); Aged (65 yrs &amp; older); Female</t>
  </si>
  <si>
    <t>Younger and older Muslim and non-Muslim women living in the United States completed questionnaires about body satisfaction and their internalization of Western standards of beauty (thin-ideal). Younger Muslim women wearing non-Western clothing and a head veil were significantly less likely to express drive for thinness or pressure to attain a thin-ideal standard of beauty than women wearing Western dress or younger women wearing non-Western dress without a head veil. Older women, while expressing greater discrepancy between their ideal body shape and their current body shape, and less satisfaction with their bodies than younger women, reported less drive for thinness and less pressure to attain the Western thin-ideal standard of beauty than younger women. These results are discussed in terms of how factors such as age and religion may serve as protective factors against a strong or unhealthy drive for thinness or thin-ideal standard. (PsycINFO Database Record (c) 2017 APA, all rights reserved)</t>
  </si>
  <si>
    <t>http://search.ebscohost.com.proxy-ub.rug.nl/login.aspx?direct=true&amp;db=psyh&amp;AN=2009-23176-001&amp;site=ehost-live&amp;scope=site</t>
  </si>
  <si>
    <t>Bonds to the homeland: Patterns and determinants of women's transnational travel frequency among three immigrant groups in Germany.</t>
  </si>
  <si>
    <t>Iarmolenko, Svitlana; Titzmann, Peter F.; Silbereisen, Rainer K.</t>
  </si>
  <si>
    <t>2015-03285-001</t>
  </si>
  <si>
    <t>10.1002/ijop.12141</t>
  </si>
  <si>
    <t>Acculturation; Immigration; Traveling; Human Females; Adulthood (18 yrs &amp; older); Female</t>
  </si>
  <si>
    <t>Technology developments have changed immigrants' adaptation patterns in modern societies, allowing immigrants to sustain dense, complex connections with homeland while adjusting in the host country, a new phenomenon termed transnationalism. As empirical studies on immigrant transnationalism are still scarce, the purpose of this study was to investigate mean levels and determinants of a core component of transnationalism—transnational travel. Hypotheses were based on context of exiting homeland, living conditions in Germany and demographic and sociocultural variables. Transnational travel behaviour was assessed as frequency of return trips in three immigrant groups in Germany: ethnic Germans, Russian Jews and Turks. Interviews were conducted with 894 women participants from these groups. Results showed substantial transnational travel behaviour in all groups with Turks reporting higher levels than ethnic Germans and Russian Jews. Interindividual differences in transnational travel within groups were also examined. Results indicated similarities (e.g. network size in home country related positively to transnational travel frequency in all groups) and group‐specific associations (e.g. co‐ethnic identifying related positively to transnational travel frequency among Turks, but negatively for the other groups). Our study highlights the need for a new understanding of immigration and emphasises the consideration of group‐specific mechanisms in transnational travel behaviour. (PsycINFO Database Record (c) 2018 APA, all rights reserved)</t>
  </si>
  <si>
    <t>http://search.ebscohost.com.proxy-ub.rug.nl/login.aspx?direct=true&amp;db=psyh&amp;AN=2015-03285-001&amp;site=ehost-live&amp;scope=site</t>
  </si>
  <si>
    <t>Brief report: When does identity lead to negative affective experiences? A comparison of Turkish–Bulgarian and Turkish–German adolescents.</t>
  </si>
  <si>
    <t>Aydinli-Karakulak, Arzu; Dimitrova, Radosveta</t>
  </si>
  <si>
    <t>2016-09082-012</t>
  </si>
  <si>
    <t>10.1016/j.adolescence.2015.09.010</t>
  </si>
  <si>
    <t>Adolescent Attitudes; Emotions; Ethnic Identity; Social Identity; Immigration; Adolescence (13-17 yrs); Male; Female</t>
  </si>
  <si>
    <t>We examine relationships between social identity domains (ethnic, national, and religious) and negative affect among Turkish–Bulgarian and Turkish–German youth. Path analysis confirmed a multiple social identities (MSI) factor that has negative relations to experiencing negative affect for Turkish youth in both countries. Beyond this negative relationship, the component of national identity showed a positive relationship to negative affect for Turkish–Bulgarians, but not for Turkish–Germans. Our findings indicate that beyond the generally adaptive effect of MSI on youth development, unique components of social identity may not always be an asset: In an assimilative acculturation context (i.e., Bulgaria), the endorsement of national identity was not adaptive. Our research therefore highlights the need for a contextually differentiated view on 'healthy' identity formation among immigrants for research and practice. (PsycINFO Database Record (c) 2017 APA, all rights reserved)</t>
  </si>
  <si>
    <t>http://search.ebscohost.com.proxy-ub.rug.nl/login.aspx?direct=true&amp;db=psyh&amp;AN=2016-09082-012&amp;site=ehost-live&amp;scope=site</t>
  </si>
  <si>
    <t>Brief Sensation Seeking Scale for Chinese—Cultural adaptation and psychometric assessment.</t>
  </si>
  <si>
    <t>Chen, Xinguang; Li, Fang; Nydegger, Liesl; Gong, Jie; Ren, Yuanjing; Dinaj-Koci, Veronica; Sun, Huiling; Stanton, Bonita</t>
  </si>
  <si>
    <t>2013-00493-009</t>
  </si>
  <si>
    <t>10.1016/j.paid.2012.11.007</t>
  </si>
  <si>
    <t>Health Behavior; Psychometrics; Sensation Seeking; Test Reliability; Test Validity; Cross Cultural Differences; Adulthood (18 yrs &amp; older); Young Adulthood (18-29 yrs); Thirties (30-39 yrs); Male; Female</t>
  </si>
  <si>
    <t>International behavioral research requires instruments that are not culturally-biased to assess sensation seeking. In this study we described a culturally adapted version of the Brief Sensation Seeking Scale for Chinese (BSSS-C) and its psychometric characteristics. The adapted scale was assessed using an adult sample (n = 238) with diverse educational and residential backgrounds. The BSSS-C (Cronbach alpha = 0.90) was correlated with the original Brief Sensation Seeking Scale (r = 0.85, p &lt; 0.01) and fitted the four-factor model well (CFI = 0.98, SRMR = 0.03). The scale scores significantly predicted intention to and actual engagement in a number of health risk behaviors, including alcohol consumption, cigarette smoking, and sexual risk behaviors. In conclusion, the BSSS-C has adequate reliability and validity, supporting its utility in China and potential in other developing countries. (PsycInfo Database Record (c) 2020 APA, all rights reserved)</t>
  </si>
  <si>
    <t>http://search.ebscohost.com.proxy-ub.rug.nl/login.aspx?direct=true&amp;db=psyh&amp;AN=2013-00493-009&amp;site=ehost-live&amp;scope=site</t>
  </si>
  <si>
    <t>Bringing together acculturation theory and intergroup contact theory: Predictors of Flemings’ expectations of Turks’ acculturation behavior.</t>
  </si>
  <si>
    <t>Van Acker, Kaat; Vanbeselaere, Norbert</t>
  </si>
  <si>
    <t>2011-10325-006</t>
  </si>
  <si>
    <t>10.1016/j.ijintrel.2010.06.004</t>
  </si>
  <si>
    <t>Acculturation; Expectations; Intergroup Dynamics; Racial and Ethnic Groups; Social Perception; Emotions; Ingroup Outgroup; Minority Groups; Adolescence (13-17 yrs); Male; Female</t>
  </si>
  <si>
    <t>The present paper explores Flemish majority members’ expectations concerning the acculturation of Turkish minorities. We studied two kinds of antecedents: majority members’ perceptions of Turkish minorities’ acculturation behavior and their experiences of intergroup contact. The possible mediating role of outgroup affect was also investigated. 247 Flemish high school students completed a survey. Data were analyzed using path analyses. Results show that positive contact experiences and perceiving that Turkish immigrants make efforts to engage in contact with the host group and/or to adopt the host culture are associated with less negative affective reactions towards Turkish migrants. Perceiving that Turkish immigrants maintain their heritage culture is associated with more negative affective reactions. Our results further revealed that increased negative affective reactions are associated with less support for culture maintenance and for contact with the host group but with a higher demand for host culture adoption. The present results also show that expectations of contact engagement and expectations of host culture adoption cannot be considered as equivalent. This implies that results from studies using Berry's conceptualization of acculturation expectations (Berry, 2001) and results from studies using Bourhis’ conceptualization of acculturation expectations (Bourhis, Moïse, Perreault, &amp; Senécal, 1997) are not directly comparable. Our data also clearly disconfirm the orthogonal structure of the fourfold acculturation model for majority members’ acculturation expectations, suggesting that relying on the specific dimensions defining acculturation expectations may constitute a more valid approach to understand ongoing acculturation processes. (PsycInfo Database Record (c) 2020 APA, all rights reserved)</t>
  </si>
  <si>
    <t>http://search.ebscohost.com.proxy-ub.rug.nl/login.aspx?direct=true&amp;db=psyh&amp;AN=2011-10325-006&amp;site=ehost-live&amp;scope=site</t>
  </si>
  <si>
    <t>Bullets, Blades, and Being Afraid in Hispanic High Schools: An Exploratory Study of the Presence of Weapons and Fear of Weapon-Associated Victimization Among High School Students in a Border Town.</t>
  </si>
  <si>
    <t>Brown, Ben; Benedict, Wm. Reed</t>
  </si>
  <si>
    <t>Crime &amp; Delinquency</t>
  </si>
  <si>
    <t>2004-15288-003</t>
  </si>
  <si>
    <t>10.1177/0011128703254916</t>
  </si>
  <si>
    <t>Fear; High Schools; Student Attitudes; Weapons; Latinos/Latinas; High School Students; Victimization; Adolescence (13-17 yrs); Male; Female</t>
  </si>
  <si>
    <t>This article presents data obtained from a survey of high school students in Brownsville, Texas. Almost half of the students reported having seen other students carry knives at school, roughly 1 in 10 reported having seen other students carry guns at school, and more than 1 in 5 reported being fearful of weapon-associated victimization at school. Logistic regression analyses indicate that age, gender, seeing other students carry weapons, and involvement with student clubs/organizations significantly affect fear of weapon-associated victimization. Using language spoken at home as a measure of acculturation, it was also determined that immigrant juveniles are more fearful of weapon-associated victimization than nonimmigrant juveniles. The theoretical and policy implications of the findings are discussed. (PsycINFO Database Record (c) 2016 APA, all rights reserved)</t>
  </si>
  <si>
    <t>http://search.ebscohost.com.proxy-ub.rug.nl/login.aspx?direct=true&amp;db=psyh&amp;AN=2004-15288-003&amp;site=ehost-live&amp;scope=site</t>
  </si>
  <si>
    <t>Cambodian and Laotian Americans' cultural values and attitudes toward seeking professional psychological services.</t>
  </si>
  <si>
    <t>Thikeo, Manivone</t>
  </si>
  <si>
    <t>2011-99100-477</t>
  </si>
  <si>
    <t>Acculturation; Attitudes; Professionalism; Psychology; Sociocultural Factors; Demographic Characteristics; Adulthood (18 yrs &amp; older)</t>
  </si>
  <si>
    <t>Several studies have reported that Asian Americans, including Cambodian and Laotian Americans, tend to under utilize mental health services, both inpatient and outpatient although they display high levels of psychological problems related to significant psychological trauma experienced in their native land or while living in refugee camps. Underutilization may not be related to the lack of need but it may relate to cultural factors such as shame and stigma as well as acculturation and lack of health insurance. Although some Asian American research about help seeking exists, no previous research has specifically addressed this question with a Cambodian and Laotian population. This study was designed to investigate demographic and acculturation variables that might help understand why. This study used data from 108 Cambodians and Laotians adults (18+) living in Rhode Island. Participants completed (1) a demographic questionnaire sheet; (2) the Sin-Lew Asian Self Identity Acculturation Scale (AS-ASIA); (3) the Attitude Toward Seeking Professional Psychological Help Scale (ATSPPHS). Results show that only one demographic variable, gender, demonstrated a robust relationship with help seeking, with females being significantly more likely than males to recognize the need for help, have less stigma about seeking help, be more open to discussing problems and more confident that professional services would be of assistance. In contrast, neither age, nor education having health insurance was significantly related to help seeking. Level of acculturation was strongly related to help seeking, contributing, in hierarchical regression analyses, unique variance over and above the set of demographic variables. Further, acculturation was related to two specific dimensions of help seeking (e.g., openness to discussing problems and confidence in professional help). A discussion of tailoring change efforts to these particular dimensions as well as females is offered as useful in engaging Laotian and Cambodian populations. Further, females are not only likely to seek help but they are also able to influent others, especially males, to seek help through their traditional role as a 'wives and mother.' Limitations of this research are discussed and suggestions made for future research efforts. (PsycINFO Database Record (c) 2016 APA, all rights reserved)</t>
  </si>
  <si>
    <t>http://search.ebscohost.com.proxy-ub.rug.nl/login.aspx?direct=true&amp;db=psyh&amp;AN=2011-99100-477&amp;site=ehost-live&amp;scope=site</t>
  </si>
  <si>
    <t>Cambodian refugees' family planning knowledge and use.</t>
  </si>
  <si>
    <t>Kulig, Judith C.</t>
  </si>
  <si>
    <t>Journal of Advanced Nursing</t>
  </si>
  <si>
    <t>2012-27456-041</t>
  </si>
  <si>
    <t>10.1046/j.1365-2648.1995.22010150.x</t>
  </si>
  <si>
    <t>Family Planning; Health Knowledge; Refugees; Communities; Language Proficiency; Adolescence (13-17 yrs); Adulthood (18 yrs &amp; older); Young Adulthood (18-29 yrs); Thirties (30-39 yrs); Middle Age (40-64 yrs); Aged (65 yrs &amp; older); Very Old (85 yrs &amp; older); Male; Female</t>
  </si>
  <si>
    <t>An ethnographic study was conducted within a Cambodian refugee community to discover information about Cambodian women's and men's knowledge and use of family planning methods. This 18-month study included participant observation at community and calendrical events, and within families' homes. Open-ended interviews were conducted with 53 informants from a variety of educational and socio-economic backgrounds. Both women and men were interviewed through a female bilingual interpreter when the informant lacked proficiency in speaking English. Major findings include a lack of knowledge among the sample about how the family planning methods work in the woman's body, and concerns about side-effects. Implications include the need to include Cambodian women and men in the planning and implementation of family planning programmes. (PsycINFO Database Record (c) 2016 APA, all rights reserved)</t>
  </si>
  <si>
    <t>http://search.ebscohost.com.proxy-ub.rug.nl/login.aspx?direct=true&amp;db=psyh&amp;AN=2012-27456-041&amp;site=ehost-live&amp;scope=site</t>
  </si>
  <si>
    <t>Can cultural identity clarity protect the well-being of Latino/a Canadians from the negative impact of race-based rejection sensitivity?</t>
  </si>
  <si>
    <t>Vaswani, Mamta; Alviar, Lina; Giguère, Benjamin</t>
  </si>
  <si>
    <t>2019-49289-001</t>
  </si>
  <si>
    <t>10.1037/cdp0000302</t>
  </si>
  <si>
    <t>Immigration; Race and Ethnic Discrimination; Social Acceptance; Well Being; Latinos/Latinas; Acculturation; Ethnic Identity; Sensitivity (Personality); Test Construction; Cultural Identity; Adulthood (18 yrs &amp; older); Young Adulthood (18-29 yrs); Thirties (30-39 yrs); Middle Age (40-64 yrs); Aged (65 yrs &amp; older); Male; Female</t>
  </si>
  <si>
    <t>Objectives: The aim of the present study was to examine the understudied immigration and acculturation experience of the growing Latino/a community in Canada. Specifically, we explored the impact of race-based rejection sensitivity on well-being, and whether cultural identity clarity could help curtail any negative effects. Hypothesis 1 was that race-based rejection sensitivity would be negatively associated with well-being. Hypothesis 2 was that cultural identity clarity would moderate the association between race-based rejection sensitivity and well-being such that Latino/a immigrants lower in cultural identity clarity would experience poorer well-being than those higher in cultural identity clarity. Method: A community sample of Latino/a immigrants (N = 136; Mage = 38.21; 51.47% female) completed a survey including measures of race-based rejection sensitivity, cultural identity clarity, bicultural stress, self-esteem, and life satisfaction. Results: Correlation and regression analyses revealed that race-based rejection sensitivity was negatively associated with well-being. Additionally, high cultural identity clarity attenuated the negative association between race-based rejection sensitivity and well-being. Conclusion: Results of the present study suggest maintaining clarity over their heritage cultures postimmigration can be beneficial to Latino/a immigrants in Canada, in particular when they are sensitive to cues of racial discrimination. (PsycInfo Database Record (c) 2020 APA, all rights reserved)</t>
  </si>
  <si>
    <t>http://search.ebscohost.com.proxy-ub.rug.nl/login.aspx?direct=true&amp;db=psyh&amp;AN=2019-49289-001&amp;site=ehost-live&amp;scope=site</t>
  </si>
  <si>
    <t>Cancer information comprehension by English-as-a-second-language immigrant women.</t>
  </si>
  <si>
    <t>Thomson, M. D.; Hoffman-Goetz, L.</t>
  </si>
  <si>
    <t>Journal of Health Communication</t>
  </si>
  <si>
    <t>2011-00098-003</t>
  </si>
  <si>
    <t>10.1080/10810730.2010.529496</t>
  </si>
  <si>
    <t>Cancer Screening; English as Second Language; Health Knowledge; Immigration; Socioeconomic Status; Acculturation; Comprehension; Socioeconomic Factors; Adulthood (18 yrs &amp; older); Middle Age (40-64 yrs); Aged (65 yrs &amp; older); Female</t>
  </si>
  <si>
    <t>Limited acculturation and socioeconomic factors have been associated with lower participation in cancer screening. Limited comprehension of cancer prevention information may contribute to this association. The authors used a stepwise linear regression to model acculturation and socioeconomic factors as predictors of comprehension (colon cancer and general health information) and screening intention in a sample of 78 Spanish-speaking immigrant women in Canada. The authors used the McNemar test to look for changes in women's screening intention. They used the Bidimensional Acculturation Scale, a language-based scale, to assess acculturation. Among English-as-a-second-language immigrant women, acculturation, television and Internet use, age, and Spanish-language education predicted comprehension of cancer prevention information, F(3, 69) = 6.76, p &lt; .001, R² = .23. These variables also predicted comprehension of general health information, via the short form of the Test of Functional Health Literacy in Adults, F(4, 68) = 12.13, p &lt; .001, R² = .42; and the Rapid Estimate of Adult Literacy in Medicine, F(2, 70) = 7.54, p = .001, R² = .17. However, the variables did not predict screening intention. More women expressed intention to be screened after reading the cancer prevention information than expected by chance alone, p = .002. Acculturation is an important influence on the comprehension of health information by older English-as-a-second- language immigrant women. However, other culture-related factors not measured by the Bidimensional Acculturation Scale likely influence their exposure to and understanding of health and cancer prevention information. (PsycInfo Database Record (c) 2020 APA, all rights reserved)</t>
  </si>
  <si>
    <t>http://search.ebscohost.com.proxy-ub.rug.nl/login.aspx?direct=true&amp;db=psyh&amp;AN=2011-00098-003&amp;site=ehost-live&amp;scope=site</t>
  </si>
  <si>
    <t>Cervical cancer screening and Chinese women: Insights from focus groups.</t>
  </si>
  <si>
    <t>Chang, S. C. H.; Woo, J. S. T.; Yau, V.; Gorzalka, B. B.; Brotto, L. A.</t>
  </si>
  <si>
    <t>2013-09902-001</t>
  </si>
  <si>
    <t>10.3389/fpsyg.2013.00048</t>
  </si>
  <si>
    <t>Asians; Awareness; Cancer Screening; Human Females; Neoplasms; Attitudes; Sexuality; Health Disparities; Reproductive Health; Adulthood (18 yrs &amp; older); Young Adulthood (18-29 yrs); Female</t>
  </si>
  <si>
    <t>Objective: Despite extensive efforts to raise awareness, Papanicolaou (Pap) testing rates among Chinese women living in North America remain low compared with Euro-American women. Although the lower Pap testing rate and ensuing health repercussions among Chinese women are well characterized, mechanisms underlying such health disparities are not. The aim of this study was to use a qualitative approach to delineate such mechanisms. Qualitative approaches to understand constructs within the domain of sexual and reproductive health have been shown to be particularly appropriate, and offer a nuanced view of sexuality that is not afforded by traditional quantitative methods. Method: We carried out two focus groups aimed at exploring how Mandarin-speaking and English-speaking Chinese women experience Pap testing (N = 12). The women were invited to partake in the focus groups from having participated in a large-scale quantitative study. Participants were all first-generation immigrants and their average age was 53-years-old. We used content analyses to analyze transcripts and extract themes. Results and Discussion: The women heavily endorsed traditional Chinese medicine philosophy, conceptualizing physical health holistically, and valuing preventative measures over screening and interceptive measures. Pap testing was described as qualitatively different from other screening procedures, such that women assigned a sexually charged meaning to Pap testing, often discussing it in relation to sexual activity and promiscuity. Women expressed their preference for the compulsory and depersonalized manner that Pap tests are performed in their home country of China, as this lessens the embarrassment associated with undergoing Pap testing. Conclusion: Three mechanisms may contribute to lower Pap testing among middle-aged first-generation Chinese immigrants: preference for Chinese medicine philosophy, perceived sexualization of Pap testing, and the institutionalization of medical care. Implications for improving the reproductive health of Chinese women are discussed. (PsycINFO Database Record (c) 2016 APA, all rights reserved)</t>
  </si>
  <si>
    <t>http://search.ebscohost.com.proxy-ub.rug.nl/login.aspx?direct=true&amp;db=psyh&amp;AN=2013-09902-001&amp;site=ehost-live&amp;scope=site</t>
  </si>
  <si>
    <t>Changes in family cohesion and acculturative stress among recent Latino immigrants.</t>
  </si>
  <si>
    <t>Ibañez, Gladys E.; Dillon, Frank; Sanchez, Mariana; de la Rosa, Mario; Tan, Li; Villar, Maria Elena</t>
  </si>
  <si>
    <t>2015-40018-003</t>
  </si>
  <si>
    <t>10.1080/15313204.2014.991979</t>
  </si>
  <si>
    <t>Acculturation; Family Relations; Immigration; Stress; Latinos/Latinas; Adulthood (18 yrs &amp; older); Young Adulthood (18-29 yrs); Thirties (30-39 yrs); Male; Female</t>
  </si>
  <si>
    <t>Family relationships can serve as an important source of support during the acculturation process; yet, how the stress related to acculturation, or acculturative stress, may impact family functioning across time is not clear. Participants (N = 479) between the ages of 18 and 34 were recruited using respondent-driven sampling methodology. Findings suggest family cohesion decreased over time; however, it decreased less for those reporting more acculturative stress. The implication is that for those Latino immigrants who struggle to adapt to their new host culture, family remains a source of support more so than for those who do not struggle as much. (PsycINFO Database Record (c) 2016 APA, all rights reserved)</t>
  </si>
  <si>
    <t>http://search.ebscohost.com.proxy-ub.rug.nl/login.aspx?direct=true&amp;db=psyh&amp;AN=2015-40018-003&amp;site=ehost-live&amp;scope=site</t>
  </si>
  <si>
    <t>Changes in immigrants’ social integration during the stay in the host country: The case of non-western immigrants in the Netherlands.</t>
  </si>
  <si>
    <t>Martinovic, Borja; van Tubergen, Frank; Maas, Ineke</t>
  </si>
  <si>
    <t>2009-16599-009</t>
  </si>
  <si>
    <t>10.1016/j.ssresearch.2009.06.001</t>
  </si>
  <si>
    <t>Human Migration; Immigration; Social Integration; Time; Male; Female</t>
  </si>
  <si>
    <t>Previous studies on social integration of immigrants were predominantly of static nature. This article provides a dynamic account by distinguishing differences in social integration that develop shortly after immigrants’ arrival in the host country from changes with length of stay. We examine contacts in leisure time between natives and non-western immigrants in the Netherlands. Theories from research on ethnic intermarriage are applied to these more common forms of contact. We use pooled cross-sectional survey data from 1988–2002. The results show that on average social integration increases with length of stay. Ethnicity, migration motive and home country education account for differences in integration that develop shortly after arrival and are maintained or even increased with length of stay, while the size of the immigrant group matters mainly at entry and then loses its influence over time. Age at migration exclusively explains differences in social integration that develop with length of stay. (PsycINFO Database Record (c) 2017 APA, all rights reserved)</t>
  </si>
  <si>
    <t>http://search.ebscohost.com.proxy-ub.rug.nl/login.aspx?direct=true&amp;db=psyh&amp;AN=2009-16599-009&amp;site=ehost-live&amp;scope=site</t>
  </si>
  <si>
    <t>Changes in multicultural, Muslim and acculturation attitudes in the Netherlands armed forces.</t>
  </si>
  <si>
    <t>Richardson, Rudy; op den Buijs, Tessa; van der Zee, Karen</t>
  </si>
  <si>
    <t>2011-21458-006</t>
  </si>
  <si>
    <t>10.1016/j.ijintrel.2011.04.004</t>
  </si>
  <si>
    <t>Acculturation; Military Personnel; Muslims; Multiculturalism; Adolescence (13-17 yrs); Adulthood (18 yrs &amp; older); Young Adulthood (18-29 yrs); Thirties (30-39 yrs); Male; Female</t>
  </si>
  <si>
    <t>The present study examined changes in multicultural, Muslim and acculturation attitudes in the Dutch military. In 2008 and 2006 two large quantitative surveys were conducted within the Dutch military. The results of the survey in 2006 showed a slightly negative attitude of Dutch Defense employees towards multiculturalism and a strong preference for assimilation in the public context. Interestingly, in 2008 attitudes towards Multiculturalism had become more positive as compared to 2006. Although in 2008 a higher rate of employees preferred the integration strategy, the majority still favored migrants to adopt an assimilation strategy. (PsycInfo Database Record (c) 2020 APA, all rights reserved)</t>
  </si>
  <si>
    <t>http://search.ebscohost.com.proxy-ub.rug.nl/login.aspx?direct=true&amp;db=psyh&amp;AN=2011-21458-006&amp;site=ehost-live&amp;scope=site</t>
  </si>
  <si>
    <t>Changes in social functioning and circulating oxytocin and vasopressin following the migration to a new country.</t>
  </si>
  <si>
    <t>Gouin, Jean-Philippe; Pournajafi-Nazarloo, Hossein; Carter, C. Sue</t>
  </si>
  <si>
    <t>Physiology &amp; Behavior</t>
  </si>
  <si>
    <t>2014-57422-013</t>
  </si>
  <si>
    <t>10.1016/j.physbeh.2014.11.021</t>
  </si>
  <si>
    <t>Human Migration; Oxytocin; Social Skills; Vasopressin; Social Functioning; Adulthood (18 yrs &amp; older); Male; Female</t>
  </si>
  <si>
    <t>Prior studies have reported associations between plasma oxytocin and vasopressin and markers of social functioning. However, because most human studies have used cross-sectional designs, it is unclear whether plasma oxytocin and vasopressin influences social functioning or whether social functioning modulates the production and peripheral release of these peptides. In order to address this question, we followed individuals who experienced major changes in social functioning subsequent to the migration to a new country. In this study, 59 new international students were recruited shortly after arrival in the host country and reassessed 2 and 5months later. At each assessment participants provided information on their current social functioning and blood samples for oxytocin and vasopressin analysis. Results indicated that changes in social functioning were not related to changes in plasma oxytocin. Instead, baseline oxytocin predicted changes in social relationship satisfaction, social support, and loneliness over time. In contrast, plasma vasopressin changed as a function of social integration. Baseline vasopressin was not related to changes in social functioning over time. These results emphasize the different roles of plasma oxytocin and vasopressin in responses to changes in social functioning in humans. (PsycInfo Database Record (c) 2020 APA, all rights reserved)</t>
  </si>
  <si>
    <t>http://search.ebscohost.com.proxy-ub.rug.nl/login.aspx?direct=true&amp;db=psyh&amp;AN=2014-57422-013&amp;site=ehost-live&amp;scope=site</t>
  </si>
  <si>
    <t>Changing behaviours and continuing silence: Sex in the post-immigration lives of mainland Chinese immigrants in Canada.</t>
  </si>
  <si>
    <t>Zhou, Yanqiu Rachel</t>
  </si>
  <si>
    <t>Culture, Health &amp; Sexuality</t>
  </si>
  <si>
    <t>2011-28755-007</t>
  </si>
  <si>
    <t>10.1080/13691058.2011.626454</t>
  </si>
  <si>
    <t>Immigration; Psychosexual Behavior; Sexuality; Adulthood (18 yrs &amp; older); Young Adulthood (18-29 yrs); Thirties (30-39 yrs); Middle Age (40-64 yrs); Male; Female</t>
  </si>
  <si>
    <t>In China, reluctance to discuss sex continues to be widely observed despite the sexual revolution there. That silence generates questions about health risks in the contexts of HIV/AIDS and international migration. Based on a qualitative study of mainland Chinese immigrants in Canada, this paper explores the impacts of immigration processes on sex and sexuality. The findings reveal a gap between these individuals’ changing sexual behaviours and the continuing silence on sex. Although Canada has exposed them to a new living environment that has shaped the dynamics and patterns of their sexual practices, their incomplete integration into the host society and their close connections with China as the home country mean that traditional Chinese norms continue to influence their understanding of these changes. With the increasing openness of these immigrants’ sexual relationships, the obsolescence of their consciousness and knowledge of sexuality should be addressed in order to reduce their vulnerability to sexual inequalities and consequent health risks. (PsycINFO Database Record (c) 2016 APA, all rights reserved)</t>
  </si>
  <si>
    <t>http://search.ebscohost.com.proxy-ub.rug.nl/login.aspx?direct=true&amp;db=psyh&amp;AN=2011-28755-007&amp;site=ehost-live&amp;scope=site</t>
  </si>
  <si>
    <t>Characteristics of culturally and linguistically diverse mental health clients.</t>
  </si>
  <si>
    <t>Khawaja, Nigar G.; McCarthy, Rebecca; Braddock, Vivienne; Dunne, Michael</t>
  </si>
  <si>
    <t>Advances in Mental Health</t>
  </si>
  <si>
    <t>2014-08151-008</t>
  </si>
  <si>
    <t>10.5172/jamh.2013.11.2.172</t>
  </si>
  <si>
    <t>eContent Management Pty Ltd</t>
  </si>
  <si>
    <t>Client Characteristics; Immigration; Mental Health; Mental Health Services; Clients; Adulthood (18 yrs &amp; older); Young Adulthood (18-29 yrs); Thirties (30-39 yrs); Middle Age (40-64 yrs); Male; Female</t>
  </si>
  <si>
    <t>The present study examined Queensland Transcultural Mental Health Centre (QTMHC) client characteristics in order to provide a better understanding for development of future health service delivery models. Archived data that was collected for 1499 clients over a two year period (2007–2009) was analysed using descriptive statistics and χ². The results indicated that clients were referred from a range of sources and were generally adults. There were more women than men, who sought services. At least half of the clients had language barriers and relied on bilingual workers. Most frequently expressed mental health issues were mood disorder symptoms, followed by symptoms of schizophrenia and psychosis and anxiety. Acculturation strains and stressors were described as the most common psychosocial issues. Mental health and psychosocial issues differed for age, gender and world regions from which the CALD clients originated. The findings provided an understanding of clients who seek services at QTMHC. Various ways in which transcultural services and data bases can be further improved are discussed. (PsycINFO Database Record (c) 2016 APA, all rights reserved)</t>
  </si>
  <si>
    <t>http://search.ebscohost.com.proxy-ub.rug.nl/login.aspx?direct=true&amp;db=psyh&amp;AN=2014-08151-008&amp;site=ehost-live&amp;scope=site</t>
  </si>
  <si>
    <t>Chinese immigrants' management of their cardiovascular disease risk.</t>
  </si>
  <si>
    <t>King, Kathryn M.; LeBlanc, Pamela; Carr, William; Quan, Hude</t>
  </si>
  <si>
    <t>Western Journal of Nursing Research</t>
  </si>
  <si>
    <t>2007-15624-001</t>
  </si>
  <si>
    <t>10.1177/0193945906296431</t>
  </si>
  <si>
    <t>At Risk Populations; Cardiovascular Disorders; Chinese Cultural Groups; Immigration; Risk Factors; Ethnic Identity; Human Sex Differences; Adulthood (18 yrs &amp; older); Middle Age (40-64 yrs); Aged (65 yrs &amp; older); Male; Female</t>
  </si>
  <si>
    <t>The authors have undertaken a series of grounded theory studies to describe and explain how ethnocultural affiliation and gender influence the process that cardiac patients undergo when faced with making behavior changes associated with reducing their cardiovascular disease (CVD) risk. Data were collected through audiorecorded semistructured interviews (using an interpreter as necessary), and the authors analyzed the data using constant comparative methods. The core variable that emerged through the series of studies was 'meeting the challenge.' Here, the authors describe the findings from a sample of Chinese immigrants (10 men, 5 women) to Canada. The process of managing CVD risk for the Chinese immigrants was characterized by their extraordinary diligence in seeking multiple sources of information to enable them to manage their health. (PsycINFO Database Record (c) 2016 APA, all rights reserved)</t>
  </si>
  <si>
    <t>http://search.ebscohost.com.proxy-ub.rug.nl/login.aspx?direct=true&amp;db=psyh&amp;AN=2007-15624-001&amp;site=ehost-live&amp;scope=site</t>
  </si>
  <si>
    <t>Clothing, identity, and acculturation: The significance of immigrants’ clothing choices.</t>
  </si>
  <si>
    <t>Safdar, Saba; Goh, Kimberley; Choubak, Melisa</t>
  </si>
  <si>
    <t>Canadian Journal of Behavioural Science / Revue canadienne des sciences du comportement</t>
  </si>
  <si>
    <t>2019-64864-001</t>
  </si>
  <si>
    <t>10.1037/cbs0000160</t>
  </si>
  <si>
    <t>Acculturation; Choice Behavior; Clothing; Ethnic Identity; Immigration; Attitudes; Personality; Preferences; Racial and Ethnic Groups; Test Construction; Adulthood (18 yrs &amp; older); Young Adulthood (18-29 yrs); Thirties (30-39 yrs); Male; Female</t>
  </si>
  <si>
    <t>One of the most visible and universal ways that people express themselves is through their clothes. Clothing communicates information about an individual’s personality, group membership, and even context of social situations. Research suggests that clothing is part of a dynamic social process, linked to ethnic identity, religious identity, and self-esteem. However, psychological research examining immigrants’ clothing choices remains scant. The present studies examine links between clothing preference, acculturation strategies and cultural identity among immigrants. Study 1 explored meanings and symbolism of Canadian/Western versus ethnic clothing for Chinese, Korean, and Indian immigrants (N = 15) through qualitative methodology. Participants described wearing ethnic clothing to express pride in and identification with heritage culture, while wearing Canadian clothing for practicality and to match social norms. Studies 2 and 3 surveyed Chinese, Indian, and European Canadians. Study 2 (N = 324) examined relations between ethnic identity and attitudes toward Canadian and ethnic clothing. Study 3 (N = 196) examined attitudes toward clothing (formal vs. casual) in different contexts (among peers of same or different ethnic background). Both immigrant groups reported being more likely to wear ethnic clothing among members of the same ethnicity but were otherwise more likely to wear Canadian clothing. Once social context was accounted for, there was a relation between ethnic identity and likelihood of wearing ethnic clothing. This effect was found for Chinese Canadians. Overall, our findings suggest that immigrants’ clothing choices are influenced by who they interact with. Immigrants choose clothing as a dimension to manifest their values and represent their adaptation to their society of settlement. (PsycINFO Database Record (c) 2019 APA, all rights reserved)</t>
  </si>
  <si>
    <t>http://search.ebscohost.com.proxy-ub.rug.nl/login.aspx?direct=true&amp;db=psyh&amp;AN=2019-64864-001&amp;site=ehost-live&amp;scope=site</t>
  </si>
  <si>
    <t>Cognitive appraisals, personality traits, machismo/caballerismo, and acculturation: Predictors of coping and well-being among Central American immigrant men.</t>
  </si>
  <si>
    <t>Lemus, Eder</t>
  </si>
  <si>
    <t>6-B(E)</t>
  </si>
  <si>
    <t>2014-99240-222</t>
  </si>
  <si>
    <t>Acculturation; Cognitive Appraisal; Coping Behavior; Personality Traits; Well Being; Adulthood (18 yrs &amp; older); Male</t>
  </si>
  <si>
    <t>The present study examined psychological constructs (i.e., cognitive appraisals, personality traits, machismo/caballerismo, and acculturation) to identify predictors of problem-focused coping and psychological well-being among Central American immigrant men. The study incorporated a broad integration of the Bioecological Systems Theory (BEST) to account for community, familial, and peer influences and the Stress and Coping Model (SCM) to conceptualize stressrelated reactions. In the study, 202 Central American men from a Mid-Atlantic urban region of the United States completed paper-and-pencil questionnaire instruments. The participants were recruited using a snowball sampling method. The data analyses employed a logistical regression model to test the effects that the predictor variables (cognitive appraisals, personality traits, machismo/caballerismo, and acculturation) had on the criterion variables (coping styles and well-being). The findings revealed that cultural (acculturation) and perceptual (cognitive appraisals) were the only significant predictors of well-being and coping in Central American men. This indicates that the Central American men in this study appraise and cope with stress using the same mechanisms as the mainstream population, according to the SCM. In addition, these findings indicate that psychological well-being was mitigated by perceptions of the stressor rather than our coping mechanisms. (PsycINFO Database Record (c) 2016 APA, all rights reserved)</t>
  </si>
  <si>
    <t>http://search.ebscohost.com.proxy-ub.rug.nl/login.aspx?direct=true&amp;db=psyh&amp;AN=2014-99240-222&amp;site=ehost-live&amp;scope=site</t>
  </si>
  <si>
    <t>Cognitive testing in non-demented Turkish immigrants—Comparison of the RUDAS and the MMSE.</t>
  </si>
  <si>
    <t>Nielsen, T. R.; Vogel, A.; Gade, A.; Waldemer, G.</t>
  </si>
  <si>
    <t>2012-31630-003</t>
  </si>
  <si>
    <t>10.1111/sjop.12018</t>
  </si>
  <si>
    <t>Cognitive Assessment; Dementia; Immigration; Mini Mental State Examination; Psychometrics; Cognitive Ability; Adulthood (18 yrs &amp; older); Middle Age (40-64 yrs); Aged (65 yrs &amp; older); Male; Female</t>
  </si>
  <si>
    <t>Methods for culturally and linguistically appropriate cognitive testing of elderly minority populations are lacking in Europe. The aim of this study was to compare performance on the Rowland Universal Dementia Assessment Scale (RUDAS) and the Mini Mental State Examination (MMSE) in Turkish immigrants in Denmark and determine the impact of demographic and health‐related variables on test performance. A sample of non‐demented community‐dwelling Turkish immigrants was recruited from the greater Copenhagen area. All participants completed a structured interview regarding demographic, physical and mental health status, as well as measures of depression and acculturation, and cognitive testing with the RUDAS and the MMSE. A total of 76 non‐demented participants aged 50 or more were included in the study. The mean performance on the RUDAS and the MMSE was 26.8 (SD 2.4) and 23.7 (SD 4.3), respectively. In group comparisons, correlation analyses and regression analyses, level of schooling represented a more significant variable for RUDAS and MMSE performance than any other variable. However, the impact of schooling was considerably more pronounced on the MMSE and the test was not found to be a valid measure of general cognitive function in subjects with less than five years of schooling. Although not entirely free of educational bias, the RUDAS can be a valuable supplement to the MMSE for assessment of general cognitive function in Turkish minority populations. (PsycINFO Database Record (c) 2016 APA, all rights reserved)</t>
  </si>
  <si>
    <t>http://search.ebscohost.com.proxy-ub.rug.nl/login.aspx?direct=true&amp;db=psyh&amp;AN=2012-31630-003&amp;site=ehost-live&amp;scope=site</t>
  </si>
  <si>
    <t>Collectivistic orientation, acculturative stress, cultural self-efficacy, and depression: A longitudinal study among Chinese internal migrants.</t>
  </si>
  <si>
    <t>Du, Hongfei; Li, Xiaoming; Lin, Danhua; Tam, Cheuk Chi</t>
  </si>
  <si>
    <t>2014-54830-001</t>
  </si>
  <si>
    <t>10.1007/s10597-014-9785-9</t>
  </si>
  <si>
    <t>Acculturation; Collectivism; Immigration; Self-Efficacy; Stress; Adulthood (18 yrs &amp; older); Male; Female</t>
  </si>
  <si>
    <t>The current study examined the longitudinal relationship of collectivistic orientation and depression and the mediating effects of acculturative stress and cultural self-efficacy between collectivistic orientation and depression. We expect that collectivistic orientation would decrease acculturative stress and increase cultural self-efficacy, and in turn, improve depression. Using data from 641 Chinese internal migrants during a 1-year period, the results supported the hypothesis that collectivistic orientation predicted decreased depression. Moreover, collectivistic orientation alleviated depression through reducing acculturative stress. Although cultural self-efficacy was also a significant mediator, collectivistic orientation relieved depression through decreasing cultural self-efficacy. Implications for future research directions and counseling are discussed. (PsycINFO Database Record (c) 2019 APA, all rights reserved)</t>
  </si>
  <si>
    <t>http://search.ebscohost.com.proxy-ub.rug.nl/login.aspx?direct=true&amp;db=psyh&amp;AN=2014-54830-001&amp;site=ehost-live&amp;scope=site</t>
  </si>
  <si>
    <t>Colorectal cancer screening of Californian adults of Mexican origin as a function of acculturation.</t>
  </si>
  <si>
    <t>Johnson-Kozlow, Marilyn</t>
  </si>
  <si>
    <t>2010-14725-004</t>
  </si>
  <si>
    <t>10.1007/s10903-009-9236-9</t>
  </si>
  <si>
    <t>Acculturation; Cancer Screening; Mexican Americans; Adult Offspring; Adulthood (18 yrs &amp; older); Male; Female</t>
  </si>
  <si>
    <t>Background: Californian Latinos have lower rates of colorectal cancer (CRC) screening compared to non-Latino whites, which may account in part for disparities in colorectal incidence trends. Methods: Participants, 603 Mexican-American men and 893 women aged 50 and older who had not been diagnosed with colon cancer, reported CRC screening behavior on the 2005 California Health Interview Survey. A 7-item acculturation index (English language use/proficiency, nativity, citizenship, and years living in the U.S.) was developed. A logistic regression model predicted CRC screening as a function of acculturation. Results: Higher acculturated Mexican- Americans were 3–4 times more likely to have had both fecal occult blood test and endoscopic CRC screening. Lower acculturated Mexican men and women were twice as likely to not have any CRC screening. Discussion: Colorectal screening is effective in preventing cancer; educational and outreach efforts and efforts to decrease language barriers among lower-acculturated Mexican- Americans should be intensified. (PsycINFO Database Record (c) 2016 APA, all rights reserved)</t>
  </si>
  <si>
    <t>http://search.ebscohost.com.proxy-ub.rug.nl/login.aspx?direct=true&amp;db=psyh&amp;AN=2010-14725-004&amp;site=ehost-live&amp;scope=site</t>
  </si>
  <si>
    <t>Comparison of eating habits in obese and non-obese Filipinas living in an urban area of Japan.</t>
  </si>
  <si>
    <t>Oh, Chu Hyang; Saito, Emiko</t>
  </si>
  <si>
    <t>2015-13114-019</t>
  </si>
  <si>
    <t>10.1007/s10903-014-0024-9</t>
  </si>
  <si>
    <t>Eating Behavior; Habits; Ingestion; Obesity; Body Mass Index; Adulthood (18 yrs &amp; older); Male; Female</t>
  </si>
  <si>
    <t>This study compares eating habits among obese and non-obese Filipinas living in an urban area of Japan. We used self-report questionnaires to study 635 Filipinos. Body mass index (BMI) and eating/lifestyle habits were noted. Obesity was defined as BMI ≥25 kg/m². Seventeen percent (24/140) were obese. Results of the age-adjusted multiple logistic regression analysis show that the following responses were associated with obesity: 'frequency of eating high green and yellow vegetables' (every day: 0, not every day: 1) [OR 4.9; 95 % confidence interval (CI) 1.6–14.8] and 'frequency of eating high fruits' (every day: 0, not every day: 1) (OR .2; 95 % CI .1–.7). We suggest strategies to prevent obesity and improve eating habits among this Filipina population. (PsycINFO Database Record (c) 2019 APA, all rights reserved)</t>
  </si>
  <si>
    <t>http://search.ebscohost.com.proxy-ub.rug.nl/login.aspx?direct=true&amp;db=psyh&amp;AN=2015-13114-019&amp;site=ehost-live&amp;scope=site</t>
  </si>
  <si>
    <t>Comparison of exposures among Arab American and non-Hispanic White female thyroid cancer cases in metropolitan Detroit.</t>
  </si>
  <si>
    <t>Peterson, L.; Soliman, A.; Ruterbusch, J. J.; Smith, N.; Schwartz, K.</t>
  </si>
  <si>
    <t>2011-25096-009</t>
  </si>
  <si>
    <t>10.1007/s10903-011-9485-2</t>
  </si>
  <si>
    <t>At Risk Populations; Cross Cultural Differences; Neoplasms; Risk Factors; Thyroid Disorders; Arabs; Human Females; Whites; Family History; Adulthood (18 yrs &amp; older); Young Adulthood (18-29 yrs); Thirties (30-39 yrs); Middle Age (40-64 yrs); Aged (65 yrs &amp; older); Female</t>
  </si>
  <si>
    <t>Arab American (ArA) women may be at greater risk for thyroid cancer (TC) than White women. This case-case comparison explored differences in known and proposed risk factors of TC among ArA and non-Hispanic White (NHW) female TC cases in metropolitan Detroit. Cases of invasive TC identified from a population-based registry responded to a telephone survey regarding potential TC risk factors. Thirty ArA women (response rate 52%) and 70 NHW women (67%) participated. NHW women reported significantly more prior thyroid disease (TD), family history of TD, hormone use, cumulative years of hormone use, cigarette and alcohol consumption. In adjusted logistic regression analysis, ArA women had significantly higher odds of exposure to dental x-rays (OR = 3.48, CI 1.01–12.00) and medical radiation (OR = 13.58, CI 1.49–124.04) than NHW women. Risk factors for TC may differ among ArA women and their NHW counterparts. (PsycINFO Database Record (c) 2016 APA, all rights reserved)</t>
  </si>
  <si>
    <t>http://search.ebscohost.com.proxy-ub.rug.nl/login.aspx?direct=true&amp;db=psyh&amp;AN=2011-25096-009&amp;site=ehost-live&amp;scope=site</t>
  </si>
  <si>
    <t>Comparison of work-related values and leadership preferences of Mexican immigrants and Caucasians.</t>
  </si>
  <si>
    <t>Duarte, Alonso</t>
  </si>
  <si>
    <t>9-A</t>
  </si>
  <si>
    <t>2020-28116-057</t>
  </si>
  <si>
    <t>Ethnic Values; Immigration; Leadership Style; Test Reliability; Whites; Globalization; Leadership; Management Personnel; Adulthood (18 yrs &amp; older)</t>
  </si>
  <si>
    <t>Globalization has made it easier for people to migrate, thus increasing diversity within organizations. One problem with this migration is that 1st and 2nd generation immigrants may prefer different leadership styles than those of the mainstream culture. The purpose of this survey-based quantitative comparative study was to investigate the effects of acculturation on the work-related cultural values and leadership style preferences of Mexican immigrants living in the United States. The research question that guided this study focused on the differences in work-related cultural values and preferred leadership styles between 2 generations of Mexican immigrants, Mexicans, and U.S.-born Caucasians. Two hundred and forty-five participants completed the survey. The researcher used a Likert-type self-assessing questionnaire adapted from existing instruments to measure the work-related cultural values and preferred leadership styles of two generations of Mexican immigrants, native Mexicans, and U.S.-born Caucasians. Statistical tools, such as correlations, Cronbach's alpha, t-test, and analysis of variance (ANOVA) were used to test measurement reliability and to test for differences in the mean scores of the criterion variables among the 4 groups. The researcher found that, in the aggregate, Mexican immigrants did not acculturate to the mainstream values of the United States, 2nd generation Mexican immigrants' scores were similar to those of U.S.-born Caucasians in work-related values, and all groups prefer the servant leadership style. Implications for social change may include raising the awareness of human resource managers of the differences and similarities in values and preferences of their staff, which may help improve the relationships between managers and the employees. (PsycInfo Database Record (c) 2020 APA, all rights reserved)</t>
  </si>
  <si>
    <t>http://search.ebscohost.com.proxy-ub.rug.nl/login.aspx?direct=true&amp;db=psyh&amp;AN=2020-28116-057&amp;site=ehost-live&amp;scope=site</t>
  </si>
  <si>
    <t>Conceptualizing psychological processes in response to globalization: Components, antecedents, and consequences of global orientations.</t>
  </si>
  <si>
    <t>Chen, Sylvia Xiaohua; Lam, Ben C. P.; Hui, Bryant P. H.; Ng, Jacky C. K.; Mak, Winnie W. S.; Guan, Yanjun; Buchtel, Emma E.; Tang, Willie C. S.; Lau, Victor C. Y.</t>
  </si>
  <si>
    <t>Journal of Personality and Social Psychology</t>
  </si>
  <si>
    <t>2015-38658-001</t>
  </si>
  <si>
    <t>10.1037/a0039647</t>
  </si>
  <si>
    <t>Acculturation; Globalization; Sociocultural Factors; Multiculturalism; Ideology; Ethnic Identity; Cultural Identity; Adulthood (18 yrs &amp; older); Young Adulthood (18-29 yrs); Thirties (30-39 yrs); Middle Age (40-64 yrs); Aged (65 yrs &amp; older); Male; Female</t>
  </si>
  <si>
    <t>The influences of globalization have permeated various aspects of life in contemporary society, from technical innovations, economic development, and lifestyles, to communication patterns. The present research proposed a construct termed global orientation to denote individual differences in the psychological processes of acculturating to the globalizing world. It encompasses multicultural acquisition as a proactive response and ethnic protection as a defensive response to globalization. Ten studies examined the applicability of global orientations among majority and minority groups, including immigrants and sojourners, in multicultural and relatively monocultural contexts, and across Eastern and Western cultures. Multicultural acquisition is positively correlated with both independent and interdependent self-construals, bilingual proficiency and usage, and dual cultural identifications. Multicultural acquisition is promotion-focused, while ethnic protection is prevention-focused and related to acculturative stress. Global orientations affect individuating and modest behavior over and above multicultural ideology, predict overlap with outgroups over and above political orientation, and predict psychological adaptation, sociocultural competence, tolerance, and attitudes toward ethnocultural groups over and above acculturation expectations/strategies. Global orientations also predict English and Chinese oral presentation performance in multilevel analyses and the frequency and pleasantness of intercultural contact in cross-lagged panel models. We discuss how the psychological study of global orientations contributes to theory and research on acculturation, cultural identity, and intergroup relations. (PsycInfo Database Record (c) 2020 APA, all rights reserved)</t>
  </si>
  <si>
    <t>http://search.ebscohost.com.proxy-ub.rug.nl/login.aspx?direct=true&amp;db=psyh&amp;AN=2015-38658-001&amp;site=ehost-live&amp;scope=site</t>
  </si>
  <si>
    <t>Condom use among immigrant Latino sexual minorities: Multilevel analysis after respondent-driven sampling.</t>
  </si>
  <si>
    <t>Rhodes, Scott D.; McCoy, Thomas P.</t>
  </si>
  <si>
    <t>AIDS Education and Prevention</t>
  </si>
  <si>
    <t>2015-05425-003</t>
  </si>
  <si>
    <t>10.1521/aeap.2015.27.1.27</t>
  </si>
  <si>
    <t>Guilford Publications</t>
  </si>
  <si>
    <t>Condoms; Immigration; Male Homosexuality; Psychosexual Behavior; Latinos/Latinas; Bisexuality; Transgender; Adulthood (18 yrs &amp; older); Young Adulthood (18-29 yrs); Thirties (30-39 yrs); Middle Age (40-64 yrs); Male</t>
  </si>
  <si>
    <t>This study explored correlates of condom use within a respondent-driven sample of 190 Spanish-speaking immigrant Latino sexual minorities, including gay and bisexual men, other men who have sex with men (MSM), and transgender person, in North Carolina. Five analytic approaches for modeling data collected using respondent-driven sampling (RDS) were compared. Across most approaches, knowledge of HIV and sexually transmitted infections (STIs) and increased condom use self-efficacy predicted consistent condom use and increased homophobia predicted decreased consistent condom use. The same correlates were not significant in all analyses but were consistent in most. Clustering due to recruitment chains was low, while clustering due to recruiter was substantial. This highlights the importance accounting for clustering when analyzing RDS data. (PsycINFO Database Record (c) 2016 APA, all rights reserved)</t>
  </si>
  <si>
    <t>http://search.ebscohost.com.proxy-ub.rug.nl/login.aspx?direct=true&amp;db=psyh&amp;AN=2015-05425-003&amp;site=ehost-live&amp;scope=site</t>
  </si>
  <si>
    <t>Confirmatory factor analysis and psychometric properties of the Multidimensional Acculturative Stress Scale.</t>
  </si>
  <si>
    <t>Lapkin, Samuel; Fernandez, Ritin</t>
  </si>
  <si>
    <t>2017-46648-001</t>
  </si>
  <si>
    <t>10.1111/ap.12326</t>
  </si>
  <si>
    <t>Acculturation; Confirmatory Factor Analysis; Immigration; Psychometrics; Stress; Test Reliability; Test Validity; Adulthood (18 yrs &amp; older); Middle Age (40-64 yrs); Aged (65 yrs &amp; older); Very Old (85 yrs &amp; older); Female</t>
  </si>
  <si>
    <t>Objective: The aim of this study was to examine the psychometric properties of the Multidimensional Acculturative Stress Scale (MASS) when used to examine the stressors faced by senior Asian Indian women immigrants in Australia. Method: Data collected from a sample of Asian Indian women immigrants residing in Sydney, Australia, were used to examine the psychometric properties of the MASS using confirmatory factor analysis. Results: A total of 203 Indian women immigrants with an average age of 66.11 years [standard deviation (SD) ± 9.60; range 50–90) participated in the study. The majority of the participants were born in India (n = 142; 70%) and their length of stay in Australia was between 1 month and 42 years. The original 24‐item, five‐factor MASS structure was confirmed, and the model showed a good fit to the data: comparative fit index = 0.93; root mean square error of approximation = 0.06; and standardised root mean square residual = 0.08. The Cronbach's alpha coefficients for the five subscales ranged from 0.80 to 0.93 and was 0.91 for the overall scale demonstrating high internal consistency. Conclusions: The findings confirm the factor structure and reliability of the MASS for assessing acculturative stress among female Asian Indian immigrants. However, scale development is an iterative process and further testing in other contexts is recommended. (PsycInfo Database Record (c) 2021 APA, all rights reserved)</t>
  </si>
  <si>
    <t>http://search.ebscohost.com.proxy-ub.rug.nl/login.aspx?direct=true&amp;db=psyh&amp;AN=2017-46648-001&amp;site=ehost-live&amp;scope=site</t>
  </si>
  <si>
    <t>Confirming the multidimensionality of psychological well-being among Korean immigrant mothers in the United States.</t>
  </si>
  <si>
    <t>Seo, You Jung; Sun, Shuyan; Cheah, Charissa S. L.</t>
  </si>
  <si>
    <t>International Journal of Mental Health</t>
  </si>
  <si>
    <t>2019-25398-003</t>
  </si>
  <si>
    <t>10.1080/00207411.2019.1578612</t>
  </si>
  <si>
    <t>Immigration; Mothers; Well Being; Acculturation; Factor Structure; Stress; Adulthood (18 yrs &amp; older); Male; Female</t>
  </si>
  <si>
    <t>Ryff’s Psychological Well-Being (PWB) Scale is a theoretically derived instrument that focuses on six dimensions of eudaimonic well-being. Although the PWB scale has been widely used in both clinical and general samples with different sociodemographic characteristics, its factor structure within first-generation Korean immigrant mothers requires examination, as they often face sociocultural challenges due to immigration-related experiences (e.g., acculturation stress, being socially and culturally segregated, following heritage cultural obligations to be a 'wise mother and good wife,' or taking less prestigious jobs) that could negatively influence their well-being. This study examined the factor structure of an 18-item version of the PWB scale in a sample of 169 first-generation Korean immigrant mothers of young children in the United States. A second-order confirmatory factor analysis did not support the original factor structure of the PWB scale. More importantly, high correlations among some of the PWB subscales suggested that the PWB factors may not be distinct from each other and the number of factors should be reduced. Exploratory factor analysis was conducted on the four highly correlated factors in subsequent analyses, and three new factors (Satisfaction with Life, Goal Orientation, and Positive Self-Perceptions) were identified. The newly derived PWB factors were negatively correlated with mothers’ depressive symptoms. These findings advanced our understanding of psychological well-being in first-generation Korean immigrant mothers and highlighted the need to consider sociocultural factors in mental health research with this population. (PsycInfo Database Record (c) 2020 APA, all rights reserved)</t>
  </si>
  <si>
    <t>http://search.ebscohost.com.proxy-ub.rug.nl/login.aspx?direct=true&amp;db=psyh&amp;AN=2019-25398-003&amp;site=ehost-live&amp;scope=site</t>
  </si>
  <si>
    <t>Conflict‐handling behaviors of Korean immigrants in the United States.</t>
  </si>
  <si>
    <t>Choi, Yeju</t>
  </si>
  <si>
    <t>Conflict Resolution Quarterly</t>
  </si>
  <si>
    <t>2016-46366-001</t>
  </si>
  <si>
    <t>10.1002/crq.21186</t>
  </si>
  <si>
    <t>Acculturation; Conflict Resolution; Cross Cultural Communication; Immigration; Adulthood (18 yrs &amp; older); Young Adulthood (18-29 yrs); Thirties (30-39 yrs); Middle Age (40-64 yrs); Aged (65 yrs &amp; older); Male; Female</t>
  </si>
  <si>
    <t>Although there is a great deal of literature that has focused on conflicts faced by monocultural people, cross‐cultural conflict scholars have not yet focused on the conflicts faced by bicultural people. This topic deserves more study as cultural clashes—conflicts between foreign‐born residents and Americans—are prevalent. Considering the number of the immigrants in the United States and the speed of globalization, more conflicts could arise not only in the workplace, but also anywhere else, such as between neighbors, coworkers, colleagues, peers, and even among intercultural family members. Therefore, in order to prepare for this type of conflict, this research examined conflict‐handling behaviors of bicultural people. Among many immigrants, this study focused on Korean immigrants in the United States through the Conflict Communication Scale (CCS) and compared the results with nationality, the amount of time that the immigrants have lived in the United States, the level of acculturation, and gender. (PsycINFO Database Record (c) 2017 APA, all rights reserved)</t>
  </si>
  <si>
    <t>http://search.ebscohost.com.proxy-ub.rug.nl/login.aspx?direct=true&amp;db=psyh&amp;AN=2016-46366-001&amp;site=ehost-live&amp;scope=site</t>
  </si>
  <si>
    <t>Conflicting cultural values, gender role attitudes, and acculturation: Exploring the context of reproductive and mental health of Asian-Indian immigrant women in the US.</t>
  </si>
  <si>
    <t>Mann, Semran K.; Roberts, Lisa R.; Montgomery, Susanne</t>
  </si>
  <si>
    <t>2017-15784-003</t>
  </si>
  <si>
    <t>10.1080/01612840.2017.1283376</t>
  </si>
  <si>
    <t>Acculturation; Human Females; Immigration; Sex Role Attitudes; South Asian Cultural Groups; Anxiety Disorders; Health Care Services; Human Rights; Values; Reproductive Health; Adulthood (18 yrs &amp; older); Female</t>
  </si>
  <si>
    <t>Asian-Indians, one of the fastest growing US immigrant groups, experience depression and anxiety, particularly among women. In this mixed-methods study, quantitative (n = 217) and qualitative (n = 36) data explored egalitarian vs. traditional views regarding women's roles and rights. Bicultural integration, family planning decision-making ability, and anxiety were associated with more egalitarian views, while Punjabi language preference, depression, and more births were associated with traditional views. Health care professionals serving this population need to be aware of the potential cultural values conflicts and gender role expectations that influence decisions around reproductive health and mental health care for Asian-Indian immigrant women. (PsycINFO Database Record (c) 2017 APA, all rights reserved)</t>
  </si>
  <si>
    <t>http://search.ebscohost.com.proxy-ub.rug.nl/login.aspx?direct=true&amp;db=psyh&amp;AN=2017-15784-003&amp;site=ehost-live&amp;scope=site</t>
  </si>
  <si>
    <t>Connection between the meaning of health and interaction with health professionals: Caring for immigrant women.</t>
  </si>
  <si>
    <t>Weerasinghe, Swarna; Mitchell, Terry</t>
  </si>
  <si>
    <t>2007-04365-001</t>
  </si>
  <si>
    <t>10.1080/07399330601179794</t>
  </si>
  <si>
    <t>Health; Immigration; Life Experiences; Meaning; Health Personnel; Culture (Anthropological); Health Attitudes; Adulthood (18 yrs &amp; older); Middle Age (40-64 yrs); Aged (65 yrs &amp; older); Female</t>
  </si>
  <si>
    <t>The meaning of health perceived by adult immigrant women in Canada is discussed from the perspectives of immigration, culture, and lived experience to understand their encounters with health care professionals. Authors base their findings on the thematic analysis of focus group data. Immigrant women viewed health as the outcome of a web of interactions between conditions of mental, physical, social, emotional, environmental, and spiritual well-being, appealing to both biomedical and phenomenological ideologies. Our analyses of qualitative data revealed that the disagreements noted by immigrant women when interacting with health care professionals were due to the discrepancies between their cultural views of health and the dominant biomedical perspective. (PsycINFO Database Record (c) 2016 APA, all rights reserved)</t>
  </si>
  <si>
    <t>http://search.ebscohost.com.proxy-ub.rug.nl/login.aspx?direct=true&amp;db=psyh&amp;AN=2007-04365-001&amp;site=ehost-live&amp;scope=site</t>
  </si>
  <si>
    <t>Construction and preliminary validation of the Barcelona Immigration Stress Scale.</t>
  </si>
  <si>
    <t>Tomás-Sábado, Joaquín; Qureshi, Adil; Antonin, Montserrat; Collazos, Francisco</t>
  </si>
  <si>
    <t>3, Pt 1</t>
  </si>
  <si>
    <t>2007-11244-040</t>
  </si>
  <si>
    <t>10.2466/PR0.100.3.1013-1023</t>
  </si>
  <si>
    <t>Human Migration; Immigration; Mental Health; Test Reliability; Test Validity; Test Construction; Adulthood (18 yrs &amp; older); Young Adulthood (18-29 yrs); Thirties (30-39 yrs); Middle Age (40-64 yrs); Male; Female</t>
  </si>
  <si>
    <t>In the study of mental health and migration, an increasing number of researchers have shifted the focus away from the concept of acculturation towards the stress present in the migratory experience. The bulk of research on acculturative stress has been carried out in the United States, and thus the definition and measurement of the construct has been predicated on that cultural and demographic context, which is of dubious applicability in Europe in general, and Spain in particular. Further, some scales have focused on international students, which down-played the importance of the migratory process, because it deals with a special subset of people who are not formally immigrating. The Barcelona Immigration Stress Scale was developed to measure acculturative stress appropriate to immigrants in Spain, using expert and focus group review and has 42 items. The scale shows acceptable internal validity, and, consistent with other scales, suggests that immigration stress is a complex construct. (PsycINFO Database Record (c) 2016 APA, all rights reserved)</t>
  </si>
  <si>
    <t>http://search.ebscohost.com.proxy-ub.rug.nl/login.aspx?direct=true&amp;db=psyh&amp;AN=2007-11244-040&amp;site=ehost-live&amp;scope=site</t>
  </si>
  <si>
    <t>Context of entry and number of depressive symptoms in an older Mexican-origin immigrant population.</t>
  </si>
  <si>
    <t>Miranda, Patricia Y.; Schulz, Amy J.; Israel, Barbara A.; González, Hector M.</t>
  </si>
  <si>
    <t>2011-14505-009</t>
  </si>
  <si>
    <t>10.1007/s10903-010-9317-9</t>
  </si>
  <si>
    <t>Geriatrics; Immigration; Major Depression; Well Being; Symptoms; Adulthood (18 yrs &amp; older); Aged (65 yrs &amp; older); Male; Female</t>
  </si>
  <si>
    <t>We examined the association between context of entry into the United States and symptoms of depression in an older age Mexican-origin population. We found that context of entry was associated with the number of depressive symptoms reported in this population. Specifically, immigrants who arrived to the U.S. following the Mexican Revolution (1918–1928) reported significantly fewer depressive symptoms, and those who arrived following enactment of the Immigration Reform Control Act (1965–1994) reported significantly more symptoms of depression, compared to those who arrived in the Bracero era (1942–1964). These findings suggest that sociopolitical context at the time of immigration may be associated with long-term psychological well-being. They contribute to a growing body of literature that suggests that the context of immigration may have long-term implications for the health of immigrant populations. We discuss implications of our findings for understanding relationships between immigration policies and the health of Mexican immigrant populations. (PsycINFO Database Record (c) 2016 APA, all rights reserved)</t>
  </si>
  <si>
    <t>http://search.ebscohost.com.proxy-ub.rug.nl/login.aspx?direct=true&amp;db=psyh&amp;AN=2011-14505-009&amp;site=ehost-live&amp;scope=site</t>
  </si>
  <si>
    <t>Contextual factors and weight change over time: A comparison between U. S. Hispanics and other population sub-groups.</t>
  </si>
  <si>
    <t>Ullmann, S. Heidi; Goldman, Noreen; Pebley, Anne R.</t>
  </si>
  <si>
    <t>2013-20967-005</t>
  </si>
  <si>
    <t>10.1016/j.socscimed.2013.04.024</t>
  </si>
  <si>
    <t>Body Weight; Contextual Associations; Health Behavior; Immigration; Neighborhoods; Racial and Ethnic Differences; Adulthood (18 yrs &amp; older); Young Adulthood (18-29 yrs); Thirties (30-39 yrs); Middle Age (40-64 yrs); Aged (65 yrs &amp; older); Very Old (85 yrs &amp; older); Male; Female</t>
  </si>
  <si>
    <t>In recent decades there has been an increasing interest in understanding the role of social and physical contexts in influencing health behaviors and outcomes. This is especially true for weight, which is considered to be highly dependent on environmental factors. The evidence linking neighborhood characteristics to weight in the United States, however, is mixed. Many studies in this area are hampered by cross sectional designs and a limited scope, insofar as they investigate only one dimension of neighborhood context. It is also unclear to what extent neighborhood characteristics account for racial/ethnic disparities in weight. Using longitudinal data from the Los Angeles Family and Neighborhood Survey (L.A. FANS), we compare patterns of weight change between Hispanics and other racial and ethnic groups in order to evaluate whether we observe a pattern of unhealthy assimilation in weight among Hispanic immigrants and to identify differences in the rate at which different groups gain weight over time. We also explore the extent to which patterns of weight change are related to a wider range of community characteristics. We find that weight increases across all groups between the two study waves of L.A. FANS and that the increases are significant except for Asians/Pacific Islanders. With respect to differences in the pace of weight change, second and higher generation Hispanic women and black men gain weight more rapidly than their first generation Hispanic counterparts. Although the evidence presented indicates that first generation Hispanics gain weight, we do not find evidence for convergence in weight since the U.S.-born gain weight at a more rapid rate. The inclusion of community-level variables does not alter the relationships between the race, ethnicity, and immigrant generation categories and weight change. Of the six types of community characteristics considered, only collective efficacy is consistently and significantly associated with weight change, although the protective effect of neighborhood collective efficacy is seen only among women. (PsycINFO Database Record (c) 2016 APA, all rights reserved)</t>
  </si>
  <si>
    <t>http://search.ebscohost.com.proxy-ub.rug.nl/login.aspx?direct=true&amp;db=psyh&amp;AN=2013-20967-005&amp;site=ehost-live&amp;scope=site</t>
  </si>
  <si>
    <t>Contextual influences on subjective well-being of young ethnic minority Russians in Estonia.</t>
  </si>
  <si>
    <t>Kus, Larissa</t>
  </si>
  <si>
    <t>Global perspectives on well-being in immigrant families.</t>
  </si>
  <si>
    <t>2013-42263-012</t>
  </si>
  <si>
    <t>10.1007/978-1-4614-9129-3_13</t>
  </si>
  <si>
    <t>Springer Science + Business Media</t>
  </si>
  <si>
    <t>Adolescent Development; Minority Groups; Racial and Ethnic Differences; Social Adjustment; Well Being; Acculturation; Society; Adolescence (13-17 yrs); Adulthood (18 yrs &amp; older); Young Adulthood (18-29 yrs); Male; Female</t>
  </si>
  <si>
    <t>This chapter aims at examining the adaptation and identity struggles of Russian youth in postcolonial Estonia. The historical context of power reversal when roles between the former dominant group (Russians) and the oppressed group (Estonians) have been exchanged provides a unique acculturation setting for the investigation of adaptation and well-being of minority youth. Historical developments constitute an integral part of the present minority group adaptation and interethnic relations in general in Estonia. The first part of this chapter describes how societal changes during the last decades have resulted in socioeconomic disadvantages and a lower well-being of Russian youth as compared to Estonian mainstreamers. Subsequently, three studies over different time periods are introduced examining determinants of subjective well-being (satisfaction) of Russian youth. In the acculturation research, subjective well-being or satisfaction has been conceptualized to be a part of psychological (emotional/affective) adaptation, which is situated mainly within the stress and coping approach. This approach allows a proper understanding and interpretation of the adaptation experiences of young Russians as the factors affecting adjustment to societal changes are presumably similar to those involved in adapting to other transitional experiences. (PsycINFO Database Record (c) 2019 APA, all rights reserved)</t>
  </si>
  <si>
    <t>http://search.ebscohost.com.proxy-ub.rug.nl/login.aspx?direct=true&amp;db=psyh&amp;AN=2013-42263-012&amp;site=ehost-live&amp;scope=site</t>
  </si>
  <si>
    <t>Contextualizing acculturation: Gender, family, and community reception influences on Asian immigrant mental health.</t>
  </si>
  <si>
    <t>Leu, Janxin; Walton, Emily; Takeuchi, David</t>
  </si>
  <si>
    <t>2011-26136-003</t>
  </si>
  <si>
    <t>10.1007/s10464-010-9360-7</t>
  </si>
  <si>
    <t>Acculturation; Communities; Family Conflict; Immigration; Mental Health; Human Sex Differences; South Asian Cultural Groups; Adulthood (18 yrs &amp; older); Male; Female</t>
  </si>
  <si>
    <t>This article investigates differences in the mental health among male and female immigrants from an ecological perspective, testing the influences of both individual acculturation domains and social contexts. Data from the first nationally representative psychiatric survey of immigrant Asians in the US is used (N = 1,583). These data demonstrate the importance of understanding acculturation domains (e.g., individual differences in English proficiency, ethnic identity, and time in the US), within the social contexts of family, community, and neighborhood. Results demonstrate that among immigrant Asian women, the association between family conflict and mental health problems is stronger for those with higher ethnic identity; among immigrant Asian men, community reception (e.g., everyday discrimination) was more highly associated with increases in mental health symptoms among those with poor English fluency. Findings suggest that both individual domains of acculturation and social context measures contribute to immigrant mental health, and that it is important to consider these relationships within the context of gender. (PsycINFO Database Record (c) 2016 APA, all rights reserved)</t>
  </si>
  <si>
    <t>http://search.ebscohost.com.proxy-ub.rug.nl/login.aspx?direct=true&amp;db=psyh&amp;AN=2011-26136-003&amp;site=ehost-live&amp;scope=site</t>
  </si>
  <si>
    <t>Contextualizing nativity status, Latino social ties, and ethnic enclaves: An examination of the ‘immigrant social ties hypothesis’.</t>
  </si>
  <si>
    <t>Viruell-Fuentes, Edna A.; Morenoff, Jeffrey D.; Williams, David R.; House, James S.</t>
  </si>
  <si>
    <t>2013-44704-007</t>
  </si>
  <si>
    <t>10.1080/13557858.2013.814763</t>
  </si>
  <si>
    <t>Immigration; Social Networks; Social Support; Latinos/Latinas; Health; Neighborhoods; Social Integration; Adulthood (18 yrs &amp; older); Young Adulthood (18-29 yrs); Thirties (30-39 yrs); Middle Age (40-64 yrs); Aged (65 yrs &amp; older); Male; Female</t>
  </si>
  <si>
    <t>Objectives: Researchers have posited that one potential explanation for the better-than-expected health outcomes observed among some Latino immigrants, vis-à-vis their US-born counterparts, may be the strength of social ties and social support among immigrants. Methods: We examined the association between nativity status and social ties using data from the Chicago Community Adult Health Study's Latino subsample, which includes Mexicans, Puerto Ricans, and other Latinos. First, we used ordinary least squares (OLS) regression methods to model the effect of nativity status on five outcomes: informal social integration; social network diversity; network size; instrumental support; and informational support. Using multilevel mixed-effects regression models, we estimated the association between Latino/immigrant neighborhood composition and our outcomes, and whether these relationships varied by nativity status. Lastly, we examined the relationship between social ties and immigrants' length of time in the USA. Results: After controlling for individual-level characteristics, immigrant Latinos had significantly lower levels of social ties than their US-born counterparts for all the outcomes, except informational support. Latino/immigrant neighborhood composition was positively associated with being socially integrated and having larger and more diverse social networks. The associations between two of our outcomes (informal social integration and network size) and living in a neighborhood with greater concentrations of Latinos and immigrants were stronger for US-born Latinos than for immigrant Latinos. US-born Latinos maintained a significant social ties advantage over immigrants – regardless of length of time in the USA – for informal social integration, network diversity, and network size. Conclusion: At the individual level, our findings challenge the assumption that Latino immigrants would have larger networks and/or higher levels of support and social integration than their US-born counterparts. Our study underscores the importance of understanding the contexts that promote the development of social ties. We discuss the implications of these findings for understanding Latino and immigrant social ties and health outcomes. (PsycINFO Database Record (c) 2016 APA, all rights reserved)</t>
  </si>
  <si>
    <t>http://search.ebscohost.com.proxy-ub.rug.nl/login.aspx?direct=true&amp;db=psyh&amp;AN=2013-44704-007&amp;site=ehost-live&amp;scope=site</t>
  </si>
  <si>
    <t>Contextualizing the experience of young Latino adults: Acculturation, social support and depression.</t>
  </si>
  <si>
    <t>Rivera, Fernando I.</t>
  </si>
  <si>
    <t>2008-08364-003</t>
  </si>
  <si>
    <t>10.1007/s10903-006-9034-6</t>
  </si>
  <si>
    <t>Acculturation; Major Depression; Mental Health; Social Support; Latinos/Latinas; Adulthood (18 yrs &amp; older); Young Adulthood (18-29 yrs); Male; Female</t>
  </si>
  <si>
    <t>Using a sample of 850 South Florida Latinos from the Miami-Dade county area, this study analyzes the effects of acculturation on the mental health of Latinos by testing whether family support mediates or moderates this relationship. For Latinos social support, particularly family support, is of special interest since it serves an important buffering function in mental health because of the importance of family values in this group. All of these research inquiries are investigated in a context where Latinos represented the majority of the population. Findings suggest a significant relationship between acculturation and depression that was mediated by family social support. Moderating effects were not discovered. The study discusses the importance of social context in analyzing the acculturation-mental health relationship and finds a strong association between gender, education and mental health. (PsycINFO Database Record (c) 2016 APA, all rights reserved)</t>
  </si>
  <si>
    <t>http://search.ebscohost.com.proxy-ub.rug.nl/login.aspx?direct=true&amp;db=psyh&amp;AN=2008-08364-003&amp;site=ehost-live&amp;scope=site</t>
  </si>
  <si>
    <t>Contributing factors of depressive symptoms among elderly Korean immigrants in Texas.</t>
  </si>
  <si>
    <t>Kang, Suk-Young; Basham, Randall; Kim, Yi Jin</t>
  </si>
  <si>
    <t>2012-34715-005</t>
  </si>
  <si>
    <t>10.1080/01634372.2012.734369</t>
  </si>
  <si>
    <t>Aging; Immigration; Major Depression; Stress; Symptoms; Life Experiences; Adulthood (18 yrs &amp; older); Aged (65 yrs &amp; older); Very Old (85 yrs &amp; older); Male; Female</t>
  </si>
  <si>
    <t>This study examined various life stresses associated with relocation that may contribute to depressive symptoms among Korean immigrant elders in Texas. A sample of 120 elders was assessed using the Geriatric Depression Scale–Short Form and a 90-min face-to-face interview. Over 1/3 of respondents (37.5%) had symptoms of depression. Regression analyses (R² = .331) indicate that self-rated health, stressful life events, English language proficiency, satisfaction of visiting one’s birth place, and watching TV were correlates of depressive symptoms among them. The findings of this observational study may be used as a baseline for designing service program for this population. (PsycINFO Database Record (c) 2016 APA, all rights reserved)</t>
  </si>
  <si>
    <t>http://search.ebscohost.com.proxy-ub.rug.nl/login.aspx?direct=true&amp;db=psyh&amp;AN=2012-34715-005&amp;site=ehost-live&amp;scope=site</t>
  </si>
  <si>
    <t>Contributions of acculturation, enculturation, discrimination, and personality traits to social anxiety among Chinese immigrants: A context-specific assessment.</t>
  </si>
  <si>
    <t>Fang, Ke; Friedlander, Myrna; Pieterse, Alex L.</t>
  </si>
  <si>
    <t>2015-11438-001</t>
  </si>
  <si>
    <t>10.1037/cdp0000030</t>
  </si>
  <si>
    <t>Acculturation; Immigration; Personality Traits; Race and Ethnic Discrimination; Social Anxiety; South Asian Cultural Groups; Adulthood (18 yrs &amp; older); Young Adulthood (18-29 yrs); Thirties (30-39 yrs); Middle Age (40-64 yrs); Aged (65 yrs &amp; older); Male; Female</t>
  </si>
  <si>
    <t>Based on the diathesis–stress model of anxiety, this study examined the contributions of cultural processes, perceived racial discrimination, and personality traits to social anxiety among Chinese immigrants. Further guided by the theory of intergroup anxiety, this study also adopted a context-specific approach to distinguish between participants’ experience of social anxiety when interacting with European Americans versus with other Chinese in the United States. This quantitative and ex post facto study used a convenience sample of 140 first-generation Chinese immigrants. Participants were recruited through e-mails from different university and community groups across the United States. The sample includes 55 men and 82 women (3 did not specify) with an average age of 36 years old. Results showed that more social anxiety was reported in the European American context than in the Chinese ethnic context. The full models accounted for almost half the variance in anxiety in each context. Although personality accounted for the most variance, the cultural variables and discrimination contributed 14% of the unique variance in the European American context. Notably, low acculturation, high neuroticism, and low extraversion were unique contributors to social anxiety with European Americans, whereas in the Chinese ethnic context only low extraversion was a unique contributor; more discrimination was uniquely significant in both contexts. The findings suggest a need to contextualize the research and clinical assessment of social anxiety, and have implications for culturally sensitive counseling with immigrants. (PsycINFO Database Record (c) 2016 APA, all rights reserved)</t>
  </si>
  <si>
    <t>http://search.ebscohost.com.proxy-ub.rug.nl/login.aspx?direct=true&amp;db=psyh&amp;AN=2015-11438-001&amp;site=ehost-live&amp;scope=site</t>
  </si>
  <si>
    <t>Contributions of personality, acculturation/enculturation and perceived racial discrimination to social anxiety among chinese immigrants: A context-specific assessment.</t>
  </si>
  <si>
    <t>Fang, Ke</t>
  </si>
  <si>
    <t>2016-99020-043</t>
  </si>
  <si>
    <t>Immigration; Personality Traits; Acculturation; Race and Ethnic Discrimination; Social Anxiety; South Asian Cultural Groups; Dyspepsia</t>
  </si>
  <si>
    <t>Previous studies have documented that Asian immigrants tend to report higher levels of social anxiety than do their White American counterparts. However, little is known about the sources and predictors of social anxiety under the context of cultural change. Based on the diathesis-stress framework of social anxiety (Rapee &amp; Spence, 2004), which posits that social anxiety is resulted from the interaction of genetic, cultural and environmental factors, this study examined relationships among social anxiety and personality traits (neuroticism and extraversion), cultural adaptation (acculturation, enculturation and perceived English fluency), and an environmental stressor (perceived racial discrimination). Participants were 140 first-generation Chinese/Taiwanese immigrants, aged 18 to 71. A unique feature of this study is that social anxiety was assessed in two social contexts: mainstream society and ethnic community. That is, participants reported their levels of social anxiety interacting with mainstream White Americans (Mainstream SA) and with other Chinese in the U.S. (Ethnic SA), as measured by the revised Social Interaction Anxiety Scale (Mattick &amp; Clarke, 1998). It was hypothesized that participants would report experiencing significantly more Mainstream SA than Ethnic SA. Neuroticism, extraversion, acculturation, perceived English fluency and perceived racial discrimination were hypothesized to jointly and uniquely predict Mainstream SA. Moreover, neuroticism, extraversion and enculturation were hypothesized to jointly and uniquely predict Ethnic SA. All hypotheses were supported at p ≤ .017. First, a dependent t-test indicated that scores on Mainstream SA were significantly higher than scores on Ethnic SA. Second, hierarchical multiple regression analyses indicated that personality traits contributed 35% of the variance in the prediction of Mainstream SA. Cultural factors contributed an additional 10% of the variance after controlling for personality traits. Perceived racial discrimination accounted for an additional 4% of the variance. The full model explained a total of 48% of the variance in Mainstream SA with extraversion, neuroticism and perceived discrimination being the unique predictors. With respect to Ethnic SA, personality traits contributed 29% of the variance. Cultural factors added an additional 5% of the variance after controlling for personality traits. Perceived racial discrimination added an additional 8% of the variance. The full model explained 43% of the variance in Ethnic SA with extraversion and perceived discrimination being the unique predictors. Implications for theory, research and practice with Chinese/Taiwanese immigrants are discussed. In particular, results of this study highlight the importance of assessing social anxiety symptoms in different social contexts, particularly for immigrants. (PsycINFO Database Record (c) 2016 APA, all rights reserved)</t>
  </si>
  <si>
    <t>http://search.ebscohost.com.proxy-ub.rug.nl/login.aspx?direct=true&amp;db=psyh&amp;AN=2016-99020-043&amp;site=ehost-live&amp;scope=site</t>
  </si>
  <si>
    <t>Control beliefs and health locus of control in Ugandan, German and migrated sub-Saharan African HIV infected individuals.</t>
  </si>
  <si>
    <t>Milz, Ruth U.; Husstedt, Ingo-W.; Reichelt, Doris; Evers, Stefan</t>
  </si>
  <si>
    <t>Journal of Psychosomatic Research</t>
  </si>
  <si>
    <t>2016-16219-008</t>
  </si>
  <si>
    <t>10.1016/j.jpsychores.2016.02.005</t>
  </si>
  <si>
    <t>Health Care Utilization; Health Locus of Control; HIV; Internal External Locus of Control; Human Migration; Adulthood (18 yrs &amp; older); Male; Female</t>
  </si>
  <si>
    <t>Objectives: Little is known about the influence of control beliefs on antiretroviral drug adherence in patients who migrated from sub-Saharan Africa to Europe. The aim of this study was to explore the differences in health locus of control and control beliefs between HIV infected patients from sub-Saharan Africa with and without a lifetime experience of migration. Methods: A sample of 62 HIV infected consecutive patients referred to the HIV clinics at the University Hospital of Münster (Germany) and at the Rubaga Hospital Kampala (Uganda) were enrolled into this study. We compared three groups of patients: sub-Saharan African migrants, German patients, and local Ugandan patients. We used the German health and illness related control beliefs questionnaire (KKG), the Competence and control beliefs questionnaire (FKK), and the Powe Fatalism Inventory-HIV/AIDS-Version (PFI-HIV/AIDS-Version) and translated these scales into English and Luganda. In addition, the patients' sociodemographic, acculturation, clinical, and immunological data were registered. Results: Significant results were shown in HIV related external locus of control between migrated sub-Saharan African and local Ugandan patients compared to German patients. General control beliefs showed no significant differences. In the PFI-HIV-Version, there was a significant difference between migrated sub-Saharan African and Ugandan patients compared to German patients. Conclusions: Our data suggest that the experience of migration does not influence the locus of control. Compared to German HIV patients, African patients in general showed a significantly higher external health locus of control which might have implications for drug adherence. (PsycInfo Database Record (c) 2020 APA, all rights reserved)</t>
  </si>
  <si>
    <t>http://search.ebscohost.com.proxy-ub.rug.nl/login.aspx?direct=true&amp;db=psyh&amp;AN=2016-16219-008&amp;site=ehost-live&amp;scope=site</t>
  </si>
  <si>
    <t>Convergence of drinking patterns of young Russian immigrants and veteran Israelis decades after mass immigration: Results from a bidirectional acculturation model.</t>
  </si>
  <si>
    <t>Sznitman, Sharon R.; Baron-Epel, Orna; Boker-Keinan, Lital</t>
  </si>
  <si>
    <t>Journal of Studies on Alcohol and Drugs</t>
  </si>
  <si>
    <t>2013-22197-010</t>
  </si>
  <si>
    <t>10.15288/jsad.2013.74.437</t>
  </si>
  <si>
    <t>Alcohol Research Documentation</t>
  </si>
  <si>
    <t>Acculturation; Alcohol Drinking Patterns; Immigration; Alcohol Drinking Attitudes; Jews; Logistic Regression; Military Veterans; Adulthood (18 yrs &amp; older); Young Adulthood (18-29 yrs); Thirties (30-39 yrs); Middle Age (40-64 yrs); Male; Female</t>
  </si>
  <si>
    <t>Objective: Studying drinking patterns in relation to immigration processes is important for reaching a better understanding of changes in drinking habits in host as well as immigrant populations. Research based on assimilation models has previously noted that immigration may affect minority drinking patterns but has failed to acknowledge the possibility that immigration may change the host drinking patterns. The current study applies a bidirectional acculturation model to analyze if, and in what ways, mass emigration from the former Soviet Union (fSU) to Israel may have influenced immigrant drinking habits as well as the drinking patterns of veteran Israelis. Method: A cross-sectional pooled nationally representative stratified simple random sample of the young Israeli Jewish adult population (ages 21–40 years) from 2004 and 2009 was used (n = 1,357; women = 52.7%). Logistic regression examined differences in drinking patterns and differences over time between fSU immigrants and veteran Israelis. Results: There has been a convergence in moderate drinking habits between the two populations, and this convergence is attributed to increases in veteran Israeli moderate drinking over time but not to decreases in fSU immigrant drinking habits. Results also show that heavy drinking is increasing among veteran Israelis but that fSU immigrants continue to drink more heavily and to be more likely to prefer distilled spirits than veteran Israelis. Conclusions: A bidirectional acculturation model may be more appropriate than assimilation models for the study of immigrant drinking patterns because it acknowledges the possibility of changes in immigrant as well as host drinking customs. (PsycINFO Database Record (c) 2016 APA, all rights reserved)</t>
  </si>
  <si>
    <t>http://search.ebscohost.com.proxy-ub.rug.nl/login.aspx?direct=true&amp;db=psyh&amp;AN=2013-22197-010&amp;site=ehost-live&amp;scope=site</t>
  </si>
  <si>
    <t>Co-occurrence of mental and physical illness in US Latinos.</t>
  </si>
  <si>
    <t>Ortega, Alexander N.; Feldman, Jonathan M.; Canino, Glorisa; Steinman, Kenneth; Alegría, Margarita</t>
  </si>
  <si>
    <t>Social Psychiatry and Psychiatric Epidemiology: The International Journal for Research in Social and Genetic Epidemiology and Mental Health Services</t>
  </si>
  <si>
    <t>2016-24335-001</t>
  </si>
  <si>
    <t>10.1007/s00127-006-0121-8</t>
  </si>
  <si>
    <t>Comorbidity; Mental Health; Physical Disorders; Latinos/Latinas; Adulthood (18 yrs &amp; older); Young Adulthood (18-29 yrs); Thirties (30-39 yrs); Middle Age (40-64 yrs); Aged (65 yrs &amp; older); Male; Female</t>
  </si>
  <si>
    <t>Background: This study describes the prevalence of comorbid physical and mental health problems in a national sample of US Latinos. We examined the co-occurrence of anxiety and depression with prevalent physical chronic illnesses in a representative sample of Latinos with national origins from Mexico, Cuba, Puerto Rico, and other Latin American countries. Method: We used data on 2,554 Latinos (75.5% response rate) ages 18 years and older from the National Latino and Asian American Study (NLAAS). The NLAAS was based on a stratified area probability sample design, and the sample came from the 50 states and Washington, DC. Survey questionnaires were delivered both in person and over the telephone in English and Spanish. Psychiatric disorders were assessed using the World Mental Health Survey Initiative version of the World Health Organization Composite International Diagnostic Interview (WMH-CIDI). Physical chronic illness was assessed by self-reported history. Results: Puerto Ricans had the highest prevalence of meeting criteria for any comorbid psychiatric disorder (more than one disorder). Puerto Ricans had the highest prevalence (22%) of subject-reported asthma history, while Cubans had the highest prevalence (33%) of cardiovascular disease. After accounting for age, sex, household income, number of years in the US, immigrant status, and anxiety or depression, anxiety was associated with diabetes and cardiovascular disease, in the entire sample. Depression and co-occurring anxiety and depression were positively associated with having a history of asthma but not with other physical diseases, in the entire sample. Interestingly, Puerto Ricans with a depressive disorder had a lower odds of having a history of cardiovascular disease than Puerto Ricans without a depressive disorder. The relationship between chronic physical and mental illness was not confounded by immigration status or number of years in the US. Discussion: Despite previous findings that link acculturation with both chronic physical and mental illness, this study does not find that number of years in the US nor nativity explain the prevalence of psychiatric-medical comorbidities. This study demonstrates the importance of considering psychiatric and medical comorbidity among specific ethnic groups, as different patterns emerge than when using aggregate ethnic measures. Research is needed on both the pathways and the mechanisms of comorbidity for the specific Latino groups. (PsycINFO Database Record (c) 2019 APA, all rights reserved)</t>
  </si>
  <si>
    <t>http://search.ebscohost.com.proxy-ub.rug.nl/login.aspx?direct=true&amp;db=psyh&amp;AN=2016-24335-001&amp;site=ehost-live&amp;scope=site</t>
  </si>
  <si>
    <t>Coping and chronic psychosocial consequences of female genital mutilation in the Netherlands.</t>
  </si>
  <si>
    <t>Vloeberghs, Erick; van der Kwaak, Anke; Knipscheer, Jeroen; van den Muijsenbergh, Maria</t>
  </si>
  <si>
    <t>2013-11239-009</t>
  </si>
  <si>
    <t>10.1080/13557858.2013.771148</t>
  </si>
  <si>
    <t>Circumcision; Coping Behavior; Human Females; Psychosocial Factors; Immigration; Consequence; Adulthood (18 yrs &amp; older); Young Adulthood (18-29 yrs); Thirties (30-39 yrs); Middle Age (40-64 yrs); Aged (65 yrs &amp; older); Female</t>
  </si>
  <si>
    <t>Objective: The study presented in this article explored psychosocial and relational problems of African immigrant women in the Netherlands who underwent female genital mutilation/cutting (FGM/C), the causes they attribute to these problems—in particular, their opinions about the relationship between these problems and their circumcision—and the way they cope with these health complaints. Design: This mixed-methods study used standardised questionnaires as well as in-depth interviews among a purposive sample of 66 women who had migrated from Somalia, Sudan, Eritrea, Ethiopia or Sierra Leone to the Netherlands. Data were collected by ethnically similar female interviewers; interviews were coded and analysed by two independent researchers. Results: One in six respondents suffered from post-traumatic stress disorder (PTSD), and one-third reported symptoms related to depression or anxiety. The negative feelings caused by FGM/C became more prominent during childbirth or when suffering from physical problems. Migration to the Netherlands led to a shift in how women perceive FGM, making them more aware of the negative consequences of FGM. Many women felt ashamed to be examined by a physician and avoided visiting doctors who did not conceal their astonishment about the FGM. Conclusion: FGM/C had a lifelong impact on the majority of the women participating in the study, causing chronic mental and psychosocial problems. Migration made women who underwent FGM/C more aware of their condition. Three types of women could be distinguished according to their coping style: the adaptives, the disempowered and the traumatised. Health care providers should become more aware of their problems and more sensitive in addressing them. (PsycINFO Database Record (c) 2016 APA, all rights reserved)</t>
  </si>
  <si>
    <t>http://search.ebscohost.com.proxy-ub.rug.nl/login.aspx?direct=true&amp;db=psyh&amp;AN=2013-11239-009&amp;site=ehost-live&amp;scope=site</t>
  </si>
  <si>
    <t>Coping resources among Southeast Asian-American adolescents.</t>
  </si>
  <si>
    <t>DuongTran, Paul</t>
  </si>
  <si>
    <t>2011-05071-006</t>
  </si>
  <si>
    <t>10.1080/10911359.2010.525092</t>
  </si>
  <si>
    <t>Acculturation; Adolescent Development; Coping Behavior; Human Sex Differences; Racial and Ethnic Differences; Stress; Adolescence (13-17 yrs); Male; Female</t>
  </si>
  <si>
    <t>This study examines the relationships of gender and ethnic differences in the experiences of stressful life events, coping-specific responses, and self-reported depression. Seventy high-school aged respondents, 40 boys and 30 girls, responded to a self-reported questionnaire that asked questions on the perceived distress of related life events (i.e., person, family, peer, acculturation events), coping-specific responses, and depression. The findings provide important data on gender and ethnic variations in the ways Southeast Asian-American adolescents deal with life stress and depression. These findings have important implications for social work practice and future research on the psychosocial adjustment with both immigrant and ethnic children and adolescents. (PsycINFO Database Record (c) 2016 APA, all rights reserved)</t>
  </si>
  <si>
    <t>http://search.ebscohost.com.proxy-ub.rug.nl/login.aspx?direct=true&amp;db=psyh&amp;AN=2011-05071-006&amp;site=ehost-live&amp;scope=site</t>
  </si>
  <si>
    <t>Coping strategies that mitigate against symptoms of depression among Latino farmworkers.</t>
  </si>
  <si>
    <t>Terrazas, Samuel R.; McCormick, Adam</t>
  </si>
  <si>
    <t>2018-07047-004</t>
  </si>
  <si>
    <t>10.1177/0739986317752923</t>
  </si>
  <si>
    <t>Coping Behavior; Major Depression; Mental Health; Acculturation; Latinos/Latinas; Adulthood (18 yrs &amp; older); Young Adulthood (18-29 yrs); Thirties (30-39 yrs); Middle Age (40-64 yrs); Aged (65 yrs &amp; older); Male; Female</t>
  </si>
  <si>
    <t>Latino farmworkers have a higher rate of depression when compared with other Latinos and the general adult population in the United States. Researchers have suggested oppressive labor policies, acculturation stressor, anti-immigrant polices and attitudes, and the dangers associated to farm work as culprits to high rates of depression among farmworkers. We examined the traits farmworkers reported that helped them mitigate symptoms of depression. Our sample consisted of 64 adult male and female farmworkers who lived in western Texas and worked in Eastern New Mexico. We used the Center for Epidemiologic Studies Depression Scale Revised (CESD-R) and self-reports of symptoms of depression to assess for depression. We found that, among this sample, the rates of depression were similar to other studies and that farmworkers used cognitive restructuring strategies to mitigate symptoms of depression. (PsycINFO Database Record (c) 2018 APA, all rights reserved)</t>
  </si>
  <si>
    <t>http://search.ebscohost.com.proxy-ub.rug.nl/login.aspx?direct=true&amp;db=psyh&amp;AN=2018-07047-004&amp;site=ehost-live&amp;scope=site</t>
  </si>
  <si>
    <t>Coping with a new health culture: Acculturation and online health information seeking among Chinese immigrants in the United States.</t>
  </si>
  <si>
    <t>Wang, Weirui; Yu, Nan</t>
  </si>
  <si>
    <t>2015-41818-017</t>
  </si>
  <si>
    <t>10.1007/s10903-014-0106-8</t>
  </si>
  <si>
    <t>Acculturation; Chinese Cultural Groups; Health Care Seeking Behavior; Immigration; Information Seeking; Health Behavior; Health Education; Internet; Health Information; Adulthood (18 yrs &amp; older); Young Adulthood (18-29 yrs); Thirties (30-39 yrs); Middle Age (40-64 yrs); Male; Female</t>
  </si>
  <si>
    <t>As a culturally diverse country, the U.S. hosts over 39 million immigrants who may experience various cultural and linguistic obstacles to receiving quality health care. Considering online sources an important alternative for immigrants to access health information, this study investigates how Chinese immigrants in the U.S. seek health information online. A cross-sectional survey was conducted among Chinese immigrants who currently live in the U.S. to understand how acculturation strategies they use to adapt to the host society influence their Internet-based health information seeking behaviors. Our findings revealed that the language and web sources immigrants choose to use can be predicted by the acculturation strategies they utilize to cope with the new culture. This study serves as a timely and imperative call for further consideration of the role that acculturation plays in determining how immigrants seek health information and utilize the healthcare services of their host society. (PsycINFO Database Record (c) 2019 APA, all rights reserved)</t>
  </si>
  <si>
    <t>http://search.ebscohost.com.proxy-ub.rug.nl/login.aspx?direct=true&amp;db=psyh&amp;AN=2015-41818-017&amp;site=ehost-live&amp;scope=site</t>
  </si>
  <si>
    <t>Coronary heart disease risk and risk perception in Korean immigrants with type 2 diabetes.</t>
  </si>
  <si>
    <t>Choi, Sarah Eunkyung</t>
  </si>
  <si>
    <t>7-B</t>
  </si>
  <si>
    <t>2008-99020-431</t>
  </si>
  <si>
    <t>Diabetes; Heart Disorders; Risk Factors; Risk Perception; Glucose Metabolism; Immigration; Type 2 Diabetes; Adulthood (18 yrs &amp; older); Thirties (30-39 yrs); Middle Age (40-64 yrs); Aged (65 yrs &amp; older)</t>
  </si>
  <si>
    <t>Background. Perceived risk is a predictor for adopting risk-reducing behaviors. Despite the rising incidence of type 2 diabetes in Korean immigrants and their increased risk of coronary heart disease (CHD) associated with diabetes, little is known about the level of CHD risk perception and risk factor control in this group. Purpose. (1) Describe the level of coronary heart disease (CHD) risk perception and risk factors; (2) examine factors associated with CHD risk perception; (3) describe glucose control status; and (4) examine determinants of glucose control in Korean immigrants with type 2 diabetes. Methods. A cross-sectional descriptive study design was used. Data were collected from a community sample of 143 Korean adults with type 2 diabetes, aged 30 to 80 years old. Participants completed questionnaires and submitted to a finger stick blood test for glycosylated hemoglobin (HbA1c), cholesterol panel, and anthropometric measures. Multiple regression analyses were conducted to evaluate factors influencing CHD risk perception and glucose control in Korean immigrants with type 2 diabetes. Findings. Perception of CHD risk among participants was low. Most (76.9%) perceived their risk to be the same or lower than their peers in the general population. According to American Diabetes Association (ADA) guidelines, CHD risk-factor control was suboptimal. More than half had uncontrolled blood pressure and higher low density lipoprotein cholesterol (55% and 53.6% respectively) than the target goal. CHD knowledge had a significant positive effect and self-reported general health had a significant negative effect on the perception of CHD risk. The mean HbA1c level was 7.6 % (SD = 1.5; range = 5.6 to 12.5). Less than half of the participants (41.3%) met the ADA's goal of less than 7%. Roughly 22% of variance in HbA1c levels was explained by a linear combination of family diet support, acculturation, body mass index (BMI), waist-to-hip ratio (WHR), the duration of diabetes, the number of diabetic medications, age, gender, and education (R2 = 0.223, F[9,133] = 4.24; p &lt; .0001). In the final model, family diet support, age, WHR, the duration of diabetes, and the number of diabetic medications determined glucose control. (PsycINFO Database Record (c) 2016 APA, all rights reserved)</t>
  </si>
  <si>
    <t>http://search.ebscohost.com.proxy-ub.rug.nl/login.aspx?direct=true&amp;db=psyh&amp;AN=2008-99020-431&amp;site=ehost-live&amp;scope=site</t>
  </si>
  <si>
    <t>Correlates and predictors of psychological distress among older Asian immigrants in California.</t>
  </si>
  <si>
    <t>Chang, Miya; Moon, Ailee</t>
  </si>
  <si>
    <t>2016-22082-003</t>
  </si>
  <si>
    <t>10.1080/01634372.2016.1140694</t>
  </si>
  <si>
    <t>Aging; Health Care Utilization; Immigration; Psychological Stress; Adulthood (18 yrs &amp; older); Aged (65 yrs &amp; older); Very Old (85 yrs &amp; older); Male; Female</t>
  </si>
  <si>
    <t>Psychological distress occurs frequently in older minority immigrants because many have limited social resources and undergo a difficult process related to immigration and acculturation. Despite a rapid increase in the number of Asian immigrants, relatively little research has focused on subgroup mental health comparisons. This study examines the prevalence of psychological distress, and relationship with socio-demographic factors, and health care utilization among older Asian immigrants. Weighted data from Asian immigrants 65 and older from 5 countries (n = 1,028) who participated in the California Health Interview Survey (CHIS) were analyzed descriptively and in multiple linear regressions. The prevalence of psychological distress varied significantly across the 5 ethnic groups, from Filipinos (4.83%) to Chinese (1.64%). General health status, cognitive and physical impairment, and health care utilization are all associated (p &lt; .05) with psychological distress in multiple linear regressions. These findings are similar to those from previous studies. The findings reinforce the need to develop more culturally effective mental health services and outreach programs. (PsycINFO Database Record (c) 2016 APA, all rights reserved)</t>
  </si>
  <si>
    <t>http://search.ebscohost.com.proxy-ub.rug.nl/login.aspx?direct=true&amp;db=psyh&amp;AN=2016-22082-003&amp;site=ehost-live&amp;scope=site</t>
  </si>
  <si>
    <t>Correlates of alcohol and tobacco use among Mexican immigrants in rural North Carolina.</t>
  </si>
  <si>
    <t>Loury, Sharon; Kulbok, Pamela</t>
  </si>
  <si>
    <t>Family &amp; Community Health: The Journal of Health Promotion &amp; Maintenance</t>
  </si>
  <si>
    <t>2007-09459-010</t>
  </si>
  <si>
    <t>10.1097/01.FCH.0000277767.00526.f1</t>
  </si>
  <si>
    <t>Alcohols; Immigration; Rural Environments; Sociocultural Factors; Tobacco Smoking; Acculturation; Demographic Characteristics; Economics; Society; Adulthood (18 yrs &amp; older); Young Adulthood (18-29 yrs); Thirties (30-39 yrs); Middle Age (40-64 yrs); Male; Female</t>
  </si>
  <si>
    <t>This study examined the relationship among sociodemographic, cultural, and psychological factors associated with alcohol and tobacco use among Mexican immigrants in the rural south. Questionnaires including sociodemographics, alcohol and tobacco use, acculturation, and stress were administered to 173 Mexican immigrants residing in rural eastern North Carolina. Gender, preimmigration use, and occupational/economic stress were significant predictors for alcohol use, with preimmigration use significant for tobacco use, suggesting that alcohol and tobacco use may be related to previous behavior, rather than acculturation to American society. Stress, setting, and preimmigration substance use would be important factors to address in the immigrant's health history. (PsycINFO Database Record (c) 2016 APA, all rights reserved)</t>
  </si>
  <si>
    <t>http://search.ebscohost.com.proxy-ub.rug.nl/login.aspx?direct=true&amp;db=psyh&amp;AN=2007-09459-010&amp;site=ehost-live&amp;scope=site</t>
  </si>
  <si>
    <t>Correlates of sense of control among older Korean-American immigrants: Financial status, physical health constraints, and environmental challenges.</t>
  </si>
  <si>
    <t>Jang, Yuri; Kim, Giyeon; Chiriboga, David A.</t>
  </si>
  <si>
    <t>The International Journal of Aging &amp; Human Development</t>
  </si>
  <si>
    <t>2006-20074-001</t>
  </si>
  <si>
    <t>10.2190/9QMQ-TG4A-1LDC-CNRR</t>
  </si>
  <si>
    <t>Baywood Publishing</t>
  </si>
  <si>
    <t>Aging; Emotional Control; Financial Strain; Immigration; South Asian Cultural Groups; Disabilities; Minority Groups; Physical Health; Adulthood (18 yrs &amp; older); Middle Age (40-64 yrs); Aged (65 yrs &amp; older); Very Old (85 yrs &amp; older); Male; Female</t>
  </si>
  <si>
    <t>Responding to the need for more research on minority older populations, the present study assessed sense of control among older Korean-American immigrants. The association of sense of control with financial status, physical health constraints, and environmental challenges was examined with a sample of 230 older Korean-Americans (Mage = 69.8, range = 60-92) in Florida. In a hierarchical regression analysis, financial limitations (poorer perceived financial status and receipt of financial support from adult children), physical health constraints (greater functional disability), and environmental challenges (lower acculturation and greater difficulty with transportation) were identified as significant risk factors for a diminished sense of control. Findings are discussed in a cultural context, and ways to promote sense of control among immigrant older populations are suggested. (PsycINFO Database Record (c) 2016 APA, all rights reserved)</t>
  </si>
  <si>
    <t>http://search.ebscohost.com.proxy-ub.rug.nl/login.aspx?direct=true&amp;db=psyh&amp;AN=2006-20074-001&amp;site=ehost-live&amp;scope=site</t>
  </si>
  <si>
    <t>Correlates of sexual risk for HIV among US-born and foreign-born Latino men who have sex with men (MSM): An analysis from the Brothers y Hermanos study.</t>
  </si>
  <si>
    <t>Mizuno, Yuko; Borkowf, Craig B.; Ayala, George; Carballo-Diéguez, Alex; Millett, Gregorio A.</t>
  </si>
  <si>
    <t>2015-03352-007</t>
  </si>
  <si>
    <t>10.1007/s10903-013-9894-5</t>
  </si>
  <si>
    <t>Male Homosexuality; Risk Taking; Sexual Risk Taking; Latinos/Latinas; HIV; Adulthood (18 yrs &amp; older); Young Adulthood (18-29 yrs); Thirties (30-39 yrs); Middle Age (40-64 yrs); Male</t>
  </si>
  <si>
    <t>Little research has been conducted to examine whether correlates of sexual risk vary by nativity among Latino men who have sex with men (MSM). We used cross sectional data collected from 870 Latino MSM recruited with respondent-driven sampling techniques. For each sub-sample (US-born and foreign-born), we assessed the association between each of the potential correlates (substance use, acculturation, social support, and social discrimination) and sexual risk behavior. Illicit drug use was associated with increased odds of sexual risk behavior in both US-born (OR = 2.17, 95 % CI 1.17–4.03) and foreign-born (OR = 1.86, 1.14–3.05) subgroups. Multivariate correlates specific to foreign-born men included binge drinking (OR = 1.91, 1.17–3.14), 15 years or longer spent in the US (OR = 1.79, 1.06–3.03) and exposure to social discrimination (OR = 2.02, 1.03–3.99). Given the diversity of Latino MSM, information from research that identifies both common and different HIV risk factors across subgroups of Latino MSM may help better tailor HIV prevention programs. (PsycINFO Database Record (c) 2016 APA, all rights reserved)</t>
  </si>
  <si>
    <t>http://search.ebscohost.com.proxy-ub.rug.nl/login.aspx?direct=true&amp;db=psyh&amp;AN=2015-03352-007&amp;site=ehost-live&amp;scope=site</t>
  </si>
  <si>
    <t>Correlates of suicidal behaviors among Asian Americans.</t>
  </si>
  <si>
    <t>Duldulao, Aileen Alfonso; Takeuchi, David T.; Hong, Seunghye</t>
  </si>
  <si>
    <t>Archives of Suicide Research</t>
  </si>
  <si>
    <t>2009-10650-007</t>
  </si>
  <si>
    <t>10.1080/13811110903044567</t>
  </si>
  <si>
    <t>Asians; Attempted Suicide; Human Sex Differences; Suicidal Ideation; Suicide; Ethnic Identity; Adulthood (18 yrs &amp; older); Young Adulthood (18-29 yrs); Thirties (30-39 yrs); Middle Age (40-64 yrs); Aged (65 yrs &amp; older); Male; Female</t>
  </si>
  <si>
    <t>This study examines the correlates of suicidal ideation, suicide plan and suicide attempt among Asian Americans focusing on nativity and gender. Analyses are performed on data from the National Latino and Asian American Study (N = 2095), the first ever study conducted on the mental health of a national sample of Asian Americans. The sample is comprised of adults with 998 men (47%) and 1,097 (53%) women. Analysis of weighted lifetime prevalence of suicidal behaviors revealed that U.S.-born Asian American women had higher prevelance of suicidal ideation and suicide plan than U.S.-born Asian American men and immigrant Asian American men and women. In multivariate analyses controlling for socio-demographic differences such as ethnicity, marital status and income, differences in suicidal behaviors are found only between U.S.-born women and U.S.-born men. The findings demonstrate the need to disaggregate data by immigrant status as well as socio-demographic correlates. (PsycINFO Database Record (c) 2016 APA, all rights reserved)</t>
  </si>
  <si>
    <t>http://search.ebscohost.com.proxy-ub.rug.nl/login.aspx?direct=true&amp;db=psyh&amp;AN=2009-10650-007&amp;site=ehost-live&amp;scope=site</t>
  </si>
  <si>
    <t>Correlation of omega-3 fatty acids intakes with acculturation and socioeconomic status in Midwestern Latinas.</t>
  </si>
  <si>
    <t>Lora, Karina R.; Lewis, Nancy M.; Eskridge, Kent M.; Stanek-Krogstrand, Kaye; Travnicek, Daryl A.</t>
  </si>
  <si>
    <t>2011-01094-015</t>
  </si>
  <si>
    <t>10.1007/s10903-009-9314-z</t>
  </si>
  <si>
    <t>Acculturation; Fatty Acids; Food Intake; Immigration; Socioeconomic Status; Latinos/Latinas; Adulthood (18 yrs &amp; older); Young Adulthood (18-29 yrs); Thirties (30-39 yrs); Middle Age (40-64 yrs); Female</t>
  </si>
  <si>
    <t>Background Low socioeconomic status (SES) and acculturation of Latino immigrants in the U.S. are linked to a decrease in diet quality. Methods Interviews were conducted with 162 first-generation Latinas to examine the association of SES and acculturation with intake of omega-3 (n−3) fatty acids. Each participant provided dietary intake by use of a validated n−3 food frequency questionnaire administered twice, 4 weeks apart, three 24-h recalls, sociodemographic information and completed the 5-item Short Acculturation Scale. Results Mean intakes of Total n−3, α-linolenic acid (ALA), eicosapentaenoic acid (EPA) and docosahexaenoic acid (DHA) (g/d) were 1.2 ± 0.7, 1.1 ± 0.6, and 0.1 ± 0.1, respectively. After adjusting for energy intake, education was significantly correlated with EPA + DHA intakes, and acculturation was significantly correlated with Total n−3, ALA and EPA + DHA intakes. Foods sources of EPA + DHA eaten by at least 50% of participants were chicken, shrimp, tuna and eggs. Discussion Given the beneficial cardiovascular effects of n−3 fatty acids, it is important to understand sociocultural factors affecting adequate intake towards an improvement in diet quality in minorities. (PsycINFO Database Record (c) 2016 APA, all rights reserved)</t>
  </si>
  <si>
    <t>http://search.ebscohost.com.proxy-ub.rug.nl/login.aspx?direct=true&amp;db=psyh&amp;AN=2011-01094-015&amp;site=ehost-live&amp;scope=site</t>
  </si>
  <si>
    <t>Correlations among socioeconomic and family factors and academic, behavioral, and emotional difficulties in Filipino adolescents in Hawai'i.</t>
  </si>
  <si>
    <t>Guerrero, Anthony P. S.; Hishinuma, Earl S.; Andrade, Naleen N.; Nishimura, Stephanie T.; Cunanan, Vanessa L.</t>
  </si>
  <si>
    <t>2006-22813-005</t>
  </si>
  <si>
    <t>10.1177/0020764006065146</t>
  </si>
  <si>
    <t>Academic Achievement; Asians; Behavior Problems; Family; Socioeconomic Status; Aggressive Behavior; Anxiety; Drug Usage; Economics; Emotional States; Immigration; Lower Income Level; Major Depression; Social Identity; Social Support; Adolescence (13-17 yrs); Male; Female</t>
  </si>
  <si>
    <t>Background: Because of socioeconomic and acculturative challenges faced by immigrant families, Filipino adolescents in Hawai'i may be at risk for academic, behavioral and emotional difficulties. Aim: To determine, among Filipino adolescents in Hawai'i, whether measures of economic hardship and lower socioeconomic status (SES) correlate positively with poor school performance, aggressive behavior, substance use, anxiety, and depression; and whether family support and cultural identification correlate negatively with these difficulties. Methods: 216 Filipino adolescents from four public high schools in Hawai'i (1993-1994) were given surveys that assessed basic demographic information, measures of family support and other social variables, and measures of school performance, depression, anxiety, aggression and substance use. Results: In the total sample, low SES seemed to correlate with poor school performance and behavioral and emotional difficulties. In both the total sample and the sub-sample of adolescents with lower SES, family support was a universally strong protective factor. Learning genealogy was positively correlated with school performance, and speaking a language other than English was inversely correlated with substance use (in the whole sample) and depression (in the lower SES sub-sample). Conclusions: For Filipino adolescents (in both the whole and lower-SES samples), family support was an important protective factor against academic, behavioral and emotional difficulties. The role of cultural identification as a risk or protective factor among Filipino adolescents deserves further investigation. (PsycINFO Database Record (c) 2016 APA, all rights reserved)</t>
  </si>
  <si>
    <t>http://search.ebscohost.com.proxy-ub.rug.nl/login.aspx?direct=true&amp;db=psyh&amp;AN=2006-22813-005&amp;site=ehost-live&amp;scope=site</t>
  </si>
  <si>
    <t>Costs, needs, and integration efforts shape helping behavior toward refugees.</t>
  </si>
  <si>
    <t>Böhm, Robert; Theelen, Maik M. P.; Rusch, Hannes; Van Lange, Paul A. M.</t>
  </si>
  <si>
    <t>PNAS Proceedings of the National Academy of Sciences of the United States of America</t>
  </si>
  <si>
    <t>2018-36066-004</t>
  </si>
  <si>
    <t>10.1073/pnas.1805601115</t>
  </si>
  <si>
    <t>National Academy of Sciences</t>
  </si>
  <si>
    <t>Assistance (Social Behavior); Prosocial Behavior; Racial and Ethnic Attitudes; Refugees; Social Integration; Games; Adolescence (13-17 yrs); Adulthood (18 yrs &amp; older); Young Adulthood (18-29 yrs); Thirties (30-39 yrs); Middle Age (40-64 yrs); Male; Female</t>
  </si>
  <si>
    <t>Recent political instabilities and conflicts around the world have drastically increased the number of people seeking refuge. The challenges associated with the large number of arriving refugees have revealed a deep divide among the citizens of host countries: one group welcomes refugees, whereas another rejects them. Our research aim is to identify factors that help us understand host citizens’ (un)willingness to help refugees. We devise an economic game that captures the basic structural properties of the refugee situation. We use it to investigate both economic and psychological determinants of citizens’ prosocial behavior toward refugees. In three controlled laboratory studies, we find that helping refugees becomes less likely when it is individually costly to the citizens. At the same time, helping becomes more likely with the refugees’ neediness: helping increases when it prevents a loss rather than generates a gain for the refugees. Moreover, particularly citizens with higher degrees of prosocial orientation are willing to provide help at a personal cost. When refugees have to exert a minimum level of effort to be eligible for support by the citizens, these mandatory 'integration efforts' further increase prosocial citizens’ willingness to help. Our results underscore that economic factors play a key role in shaping individual refugee helping behavior but also show that psychological factors modulate how individuals respond to them. Moreover, our economic game is a useful complement to correlational survey measures and can be used for pretesting policy measures aimed at promoting prosocial behavior toward refugees. (PsycINFO Database Record (c) 2018 APA, all rights reserved)</t>
  </si>
  <si>
    <t>http://search.ebscohost.com.proxy-ub.rug.nl/login.aspx?direct=true&amp;db=psyh&amp;AN=2018-36066-004&amp;site=ehost-live&amp;scope=site</t>
  </si>
  <si>
    <t>Counting the cost of Afrophobia: Post-migration adaptation and mental health challenges of African refugees in South Africa.</t>
  </si>
  <si>
    <t>Thela, Lindokuhle; Tomita, Andrew; Maharaj, Varsha; Mhlongo, Mpho; Burns, Jonathan K.</t>
  </si>
  <si>
    <t>2017-56096-009</t>
  </si>
  <si>
    <t>10.1177/1363461517745472</t>
  </si>
  <si>
    <t>African Cultural Groups; Anxiety; Help Seeking Behavior; Major Depression; Refugees; Acculturation; Divorced Persons; Epidemiology; Human Migration; Mental Health; Social Adjustment; Posttraumatic Growth; Adulthood (18 yrs &amp; older); Young Adulthood (18-29 yrs); Thirties (30-39 yrs); Middle Age (40-64 yrs); Aged (65 yrs &amp; older); Male; Female</t>
  </si>
  <si>
    <t>There are few studies on the role of migration within sub-Saharan Africa and its relation to the development of mental illness. We investigated post-resettlement adaptation and mental health challenges of African refugees/migrants in Durban, South Africa. We interviewed 335 African help-seeking refugees/migrants for anxiety, depression (25-item Hopkins Symptom Checklist) and post-traumatic stress symptoms (30-item Harvard Trauma Questionnaire). Socio-demographic and migration history, focusing on post-migration circumstances and experiences of discrimination in the host country, were obtained. Association between migration and post-settlement factors and mental health outcomes were assessed using adjusted logistic regression models. Prevalence of mental distress was high: 49.4% anxiety, 54.6% depression and 24.9% post-traumatic stress symptoms. After adjustment for family separation since migration, recent arrival in South Africa was associated with increased risk for depression (aOR = 4.0, 95% CI:1.3–11.8) and post-traumatic stress (aOR = 5.2, 95% CI:1.7–15.9), while in unadjusted models, older age on arrival was associated with anxiety (aOR = 5.3, 95% CI:1.4–19.8) and depression (aOR = 6.2, 95% CI:1.6–24.3). History of family separation since migration was independently associated with depression and post-traumatic stress in all models. Discriminatory experiences since migration was also an independent risk factor for all three mental health outcomes. Finally, being divorced/widowed was associated with an increased risk for post-traumatic stress, while higher income earners were protected against post-traumatic symptoms, even after adjustment. Refugees/migrants in South Africa show a significant burden of mental distress that is linked to challenges of adjustment in an often hostile context. Services addressing these and other health-related, social-economic needs should be developed as a priority. (PsycINFO Database Record (c) 2018 APA, all rights reserved)</t>
  </si>
  <si>
    <t>http://search.ebscohost.com.proxy-ub.rug.nl/login.aspx?direct=true&amp;db=psyh&amp;AN=2017-56096-009&amp;site=ehost-live&amp;scope=site</t>
  </si>
  <si>
    <t>Couple relationship standards and migration: Comparing Hong Kong Chinese with Australian Chinese.</t>
  </si>
  <si>
    <t>Halford, W. Kim; Leung, Patrick; Hung‐Cheung, Chan; Chau‐Wan, Lau; Hiew, Danika; van de Vijver, Fons J. R.</t>
  </si>
  <si>
    <t>Family Process</t>
  </si>
  <si>
    <t>2017-56232-001</t>
  </si>
  <si>
    <t>10.1111/famp.12337</t>
  </si>
  <si>
    <t>Acculturation; Couples; Cross Cultural Differences; Human Migration; Interpersonal Relationships; Chinese Cultural Groups; Human Sex Differences; Adulthood (18 yrs &amp; older); Male; Female</t>
  </si>
  <si>
    <t>Rates of international migration are increasing, which raises the question of how migration might influence couple relationship standards and impact on the standards of migrants forming intercultural relationships. We compared relationship standards in n = 286 Chinese living in Hong Kong, China, with standards in n = 401 Chinese migrants to a Western country (Australia) by administering the Chinese‐Western Intercultural Couple Standards Scale (CWICSS). We also compared these two groups to n = 312 Westerners living in Australia. We first tested the structural invariance of the CWICSS across the three samples with a multigroup confirmatory factor analysis. There was marginal but acceptable fit of a model of two positively correlated latent factors: Couple Bond (with four indicators, such as demonstration of love and caring) and Family Responsibility (also with four indicators, such as extended family relations and preserving face). Within the limitations of the study, results suggest migration is associated predominantly with differences in women's, but not men's, relationship standards. Migrant Chinese women show alignment of Couple Bond standards with Western standards, and divergence of Family Responsibility standards from Western standards. Discussion focused on how migration and intercultural relationship experiences might differentially influence various domains of relationship standards, gender differences in migration effects on standards, and the implications for working with culturally diverse couples. (PsycINFO Database Record (c) 2019 APA, all rights reserved)</t>
  </si>
  <si>
    <t>http://search.ebscohost.com.proxy-ub.rug.nl/login.aspx?direct=true&amp;db=psyh&amp;AN=2017-56232-001&amp;site=ehost-live&amp;scope=site</t>
  </si>
  <si>
    <t>Covariates of subjective well‐being among Latin American immigrants in Spain: The role of social integration in the community.</t>
  </si>
  <si>
    <t>Herrero, Juan; Fuente, Asur; Gracia, Enrique</t>
  </si>
  <si>
    <t>2011-28438-001</t>
  </si>
  <si>
    <t>10.1002/jcop.20468</t>
  </si>
  <si>
    <t>Communities; Immigration; Social Integration; Well Being; Adulthood (18 yrs &amp; older); Male; Female</t>
  </si>
  <si>
    <t>The aim of this study is to test the influence that social integration in the community might have on subjective well-being (SWB) beyond the influence of sociodemographic characteristics, self-esteem, stressful life events, and social support from intimate and confidant relationships. We explore this set of relationships among Latin American immigrants in Spain, a group at risk of social exclusion. Results show a positive and statistically significant relationship between social integration and SWB, after controlling for the statistical effects of the other variables. Promoting social integration in the community among immigrant population might grant them access to wider community resources that might play an important role on their SWB. (PsycINFO Database Record (c) 2016 APA, all rights reserved)</t>
  </si>
  <si>
    <t>http://search.ebscohost.com.proxy-ub.rug.nl/login.aspx?direct=true&amp;db=psyh&amp;AN=2011-28438-001&amp;site=ehost-live&amp;scope=site</t>
  </si>
  <si>
    <t>Creating a biblically-functioning community that embraces ethnic diversity: Designing pathways for bringing Christians together.</t>
  </si>
  <si>
    <t>Raduano, George W.</t>
  </si>
  <si>
    <t>8-A(E)</t>
  </si>
  <si>
    <t>2015-99031-349</t>
  </si>
  <si>
    <t>Blacks; Ethnic Diversity; Christians; Diversity; Social Integration</t>
  </si>
  <si>
    <t>Sunday mornings in American churches reveal ethnic divisions that prevail despite racial integration in the public square. This segregation by choice continues to expand beyond White and African American churches as recent immigrants see language and ethnicity as priorities in their selection of houses of worship. Despite these trends, there are a growing number of churches that reflect the ethnic diversity of their regions. These diverse churches face unique ethnic issues that require intentionality. This paper explores mindsets of both the foundational majority who have no choice in the matter and the incoming minority who chose diversity. The keystone of the investigation is an online survey of four hundred church members from Trinity Assembly of God, Lutherville, MD regarding issues of ethnic diversity. Included are: (1) perspectives on healthy ethnic diversity, (2) the degree of agreement with the church's stated diversity outcomes, (3) willingness to participate with various methods of embracing diversity, and (4) the climate of the church in regards to healthy ethnic diversity. Key implications of the project for the local church include: (1) Listening for unspoken issues regarding diversity, (2) affirming diversity through leadership positions, (3) clarifying for a Biblical framework for ethnic unity, (4) an awareness of racism in the pew. Leaders of churches desiring to develop healthy, Biblical models of ethnic diversity will find the survey informative and the recommendations helpful in their local church setting. (PsycInfo Database Record (c) 2020 APA, all rights reserved)</t>
  </si>
  <si>
    <t>http://search.ebscohost.com.proxy-ub.rug.nl/login.aspx?direct=true&amp;db=psyh&amp;AN=2015-99031-349&amp;site=ehost-live&amp;scope=site</t>
  </si>
  <si>
    <t>Criteria of sociocultural adjustment: The case of the Russian community in Israel since 1989.</t>
  </si>
  <si>
    <t>Lissitsa, Sabina; Peres, Yochanan</t>
  </si>
  <si>
    <t>2011-06426-006</t>
  </si>
  <si>
    <t>10.1016/j.ijintrel.2010.09.002</t>
  </si>
  <si>
    <t>Immigration; Social Adjustment; Social Integration</t>
  </si>
  <si>
    <t>This research focuses on criteria for evaluating the success of sociocultural adjustment among immigrants in the target society. The major research objective is to clarify whether the desired outcome of integration as described by immigrants from the Commonwealth of Independent States (CIS) and natives (Israelis) reflects the same or different models of sociocultural adjustment. Representative samples of immigrants and long-time Israelis completed a 67-item questionnaire where each item represented a criterion of sociocultural adjustment. These items were organized by factor analysis into 12 spheres of sociocultural adjustment (e.g., psychological, economical, educational, etc.). The immigrants preferred the selected acculturation model of sociocultural adjustment: selective adoption of the target culture while maintaining an affinity to the native one. In comparison, the host Israelis favored an integrative model: general (unselective) adoption of the new culture and preservation of an affinity to the native one. (PsycINFO Database Record (c) 2016 APA, all rights reserved)</t>
  </si>
  <si>
    <t>http://search.ebscohost.com.proxy-ub.rug.nl/login.aspx?direct=true&amp;db=psyh&amp;AN=2011-06426-006&amp;site=ehost-live&amp;scope=site</t>
  </si>
  <si>
    <t>Cross-and same-race friendships of Vietnamese immigrant adolescents: A focus on acculturation and school diversity.</t>
  </si>
  <si>
    <t>Chan, Wing Yi; Birman, Dina</t>
  </si>
  <si>
    <t>2009-11056-005</t>
  </si>
  <si>
    <t>10.1016/j.ijintrel.2009.05.003</t>
  </si>
  <si>
    <t>Acculturation; Adolescent Development; Cross Cultural Communication; Friendship; School Environment; Immigration; Racial and Ethnic Relations; Social Support; Vietnamese Cultural Groups; Childhood (birth-12 yrs); School Age (6-12 yrs); Adolescence (13-17 yrs); Adulthood (18 yrs &amp; older); Young Adulthood (18-29 yrs); Male; Female</t>
  </si>
  <si>
    <t>The purpose of this study was to examine friendship developments of 153 Vietnamese immigrant adolescents who resided in an East Coast metropolitan area of the United States. We examined the influences of school diversity and acculturation on the quantity and quality of cross-and same-race friendships. Surprisingly, students who came from schools that are more diverse reported fewer cross-race friendships and lower levels of social support from their cross-race friends. American acculturation predicted greater levels of social support from cross-race friends. For same-race friendships, students who went to schools with higher percentage of Asian students reported more same-race friendships; however, percentage of Asian students was not a significant predictor of social support from same-race friends. Students who reported greater levels of Vietnamese acculturation reported greater levels of social support from their same-race friends. This study has implications for understanding the impact of school diversity and acculturation on friendship development of Vietnamese immigrants. Also, suggestions on how to better conceptualize and measure diversity are discussed. (PsycINFO Database Record (c) 2017 APA, all rights reserved)</t>
  </si>
  <si>
    <t>http://search.ebscohost.com.proxy-ub.rug.nl/login.aspx?direct=true&amp;db=psyh&amp;AN=2009-11056-005&amp;site=ehost-live&amp;scope=site</t>
  </si>
  <si>
    <t>Cross-cultural adaptation of Hispanic youth: A study of communication patterns, functional fitness, and psychological health.</t>
  </si>
  <si>
    <t>McKay-Semmler, Kelly; Kim, Young Yun</t>
  </si>
  <si>
    <t>Communication Monographs</t>
  </si>
  <si>
    <t>2014-15445-001</t>
  </si>
  <si>
    <t>10.1080/03637751.2013.870346</t>
  </si>
  <si>
    <t>Adaptation; Communication; Cross Cultural Differences; Immigration; Psychology; Ethnic Identity; Schools; Adolescence (13-17 yrs); Adulthood (18 yrs &amp; older); Young Adulthood (18-29 yrs); Male; Female</t>
  </si>
  <si>
    <t>This study examined the role of communication in the adaptation of Hispanic youth to the dominant cultural values and practices embodied in US American public schools. Seven hypotheses predicted positive interrelationships among four theoretical constructs identified in Y. Y. Kim's integrative theory of communication and cross-cultural adaptation: host communication competence, host interpersonal communication, psychological health, and functional fitness. Structured, closed-ended questions were administered in face-to-face interviews with 112 Hispanic adolescents in the upper Midwestern United States. Structural equation modeling results supported all seven hypotheses, indicating Hispanic youth with greater host communication competence were more actively engaged in host interpersonal communication and enjoyed greater psychological health and functional fitness with respect to US public schools and the larger US society. (PsycINFO Database Record (c) 2017 APA, all rights reserved)</t>
  </si>
  <si>
    <t>http://search.ebscohost.com.proxy-ub.rug.nl/login.aspx?direct=true&amp;db=psyh&amp;AN=2014-15445-001&amp;site=ehost-live&amp;scope=site</t>
  </si>
  <si>
    <t>Cross-cultural adaptation, psychometric proprieties and factor structure of the Multidimensional Student Life Satisfaction Scale (MSLSS): A study with palestinian children living in refugee camps.</t>
  </si>
  <si>
    <t>Veronese, Guido; Pepe, Alessandro</t>
  </si>
  <si>
    <t>Current Psychology: A Journal for Diverse Perspectives on Diverse Psychological Issues</t>
  </si>
  <si>
    <t>2018-27720-001</t>
  </si>
  <si>
    <t>10.1007/s12144-018-9891-x</t>
  </si>
  <si>
    <t>Arabs; Life Satisfaction; Satisfaction; School Adjustment; Test Construction; Elementary School Students; Factor Structure; Psychometrics; Refugees; Test Reliability; Test Validity; Cross Cultural Test Adaptation; Childhood (birth-12 yrs); School Age (6-12 yrs); Male; Female</t>
  </si>
  <si>
    <t>The Multidimensional Student Life Satisfaction Scale (MSLSS) is a quantitative tool that has mainly been developed in Western cultural contexts as a measure of children’s global satisfaction with their lives. The aim of the present study was to adapt the MSLSS for use with a sample of Palestinian primary school children (N = 1215) living in refugee camps. The instrument’s factor structure was analyzed via exploratory and confirmatory factor analysis. The divergent validity of the MSLSS scores was tested with respect to self-rated measurements of affect balance and symptoms of trauma. The results supported a robust four-factor 14-item structure (RMSEA = .030; NFI = .973, TLI = .981; CFI = .985) with good internal reliability. The four factors were satisfaction with family, friends, school and environment and they were stable across age groups. In conclusion, this adapted version of the MSLSS in Arabic is a quick, valid, and reliable scale for assessing children’s life satisfaction that may be used in contexts of political violence and low-intensity warfare. (PsycInfo Database Record (c) 2020 APA, all rights reserved)</t>
  </si>
  <si>
    <t>http://search.ebscohost.com.proxy-ub.rug.nl/login.aspx?direct=true&amp;db=psyh&amp;AN=2018-27720-001&amp;site=ehost-live&amp;scope=site</t>
  </si>
  <si>
    <t>Cross‐cultural differences in emotion suppression in everyday interactions.</t>
  </si>
  <si>
    <t>Huwaë, Sylvia; Schaafsma, Juliette</t>
  </si>
  <si>
    <t>2018-26292-001</t>
  </si>
  <si>
    <t>10.1002/ijop.12283</t>
  </si>
  <si>
    <t>Cross Cultural Differences; Emotional Regulation; Emotions; Individualism; Collectivism; Suppression (Defense Mechanism); Adulthood (18 yrs &amp; older); Male; Female</t>
  </si>
  <si>
    <t>Previous research suggests that in collectivistic cultures, people tend to suppress their emotions more than in individualistic cultures. Little research, however, has explored cross‐cultural differences in emotion regulation in everyday interactions. Using a daily social interaction method, we examined whether people from collectivistic backgrounds (Chinese exchange students and immigrants from the Moluccas, Indonesia) living in the Netherlands differed from those from individualistic backgrounds (Dutch natives) in emotion suppression during everyday interactions. We also examined whether this depended on their relationship with the interaction partner(s). We found that Chinese participants suppressed positive and negative emotions more than Dutch and Moluccan participants and that this was related to differences in interdependent and independent self‐construal across the samples. We also found that Chinese participants suppressed positive emotions less in interactions with close others, whereas Dutch participants suppressed negative emotions more with non‐close others. No such differences were found for Moluccans. Our findings support the idea that people from collectivistic cultures suppress emotions more than those from individualistic cultures, but they also suggest that this depends on who the interaction partner is. Furthermore, they suggest that emotion suppression may change when people with collectivistic backgrounds have been raised in individualistic cultures. (PsycINFO Database Record (c) 2020 APA, all rights reserved)</t>
  </si>
  <si>
    <t>http://search.ebscohost.com.proxy-ub.rug.nl/login.aspx?direct=true&amp;db=psyh&amp;AN=2018-26292-001&amp;site=ehost-live&amp;scope=site</t>
  </si>
  <si>
    <t>Cross-Cultural Equivalence and Validity of the Vietnamese MMPI-2: Assessing Psychological Adjustment of Vietnamese Refugees.</t>
  </si>
  <si>
    <t>Dong, Y'Lang T.; Church, A. Timothy</t>
  </si>
  <si>
    <t>Psychological Assessment</t>
  </si>
  <si>
    <t>2003-08831-016</t>
  </si>
  <si>
    <t>10.1037/1040-3590.15.3.370</t>
  </si>
  <si>
    <t>Cross Cultural Differences; Emotional Adjustment; Foreign Language Translation; Minnesota Multiphasic Personality Inventory; Test Validity; Refugees; Vietnamese Cultural Groups; Cross Cultural Validity; Adulthood (18 yrs &amp; older); Male; Female</t>
  </si>
  <si>
    <t>The cross-cultural equivalence and validity of the Vietnamese translation of the Minnesota Multiphasic Personality Inventory-2 (MMPI-2) were examined in a sample of 1st-generation Vietnamese refugees in the United States (N = 143). Respondents completed the Vietnamese MMPI-2, the Harvard Trauma Questionnaire, a measure of acculturation, and a demographic questionnaire. An inspection of MMPI-2 mean profiles and items showing extreme endorsement rates suggested that certain symptom tendencies and cultural values may be reflected in responses to some MMPI-2 items. Older age, lower acculturation, greater experienced premigration-postmigration traumas, and military veteran status were all associated with elevated MMPI-2 profiles, suggesting that the MMPI-2 functions in a reasonably equivalent and valid way in this population. (PsycInfo Database Record (c) 2020 APA, all rights reserved)</t>
  </si>
  <si>
    <t>http://search.ebscohost.com.proxy-ub.rug.nl/login.aspx?direct=true&amp;db=psyh&amp;AN=2003-08831-016&amp;site=ehost-live&amp;scope=site</t>
  </si>
  <si>
    <t>Cross-cultural paradigm in psychology: The acculturation of Caribbean immigrants in Canada.</t>
  </si>
  <si>
    <t>McIntosh, Charmaine Y.</t>
  </si>
  <si>
    <t>2009-99070-081</t>
  </si>
  <si>
    <t>Acculturation; Cross Cultural Differences; Ethnic Identity; Immigration; Multiculturalism; Human Sex Differences; Adulthood (18 yrs &amp; older); Male; Female</t>
  </si>
  <si>
    <t>Many have studied the impact of acculturation on different cultures. However, the researches have not included immigrants from the English-speaking Caribbean islands. This research investigated the West Indian immigrant's adjustment and how they are affected by acculturation. It explored the relationship between acculturation, ethnic identity, gender differences, biculturalism, and protective factors of the English-speaking people from the West Indies living in Canada. Acculturation has been around for many centuries and there have been many definitions. One definition describes acculturation as the following: 'Those phenomena which result when groups of individuals having different cultures come into continuous first-hand contact' causing 'changes in the original culture patterns of either or both groups' (Redfield, Linton &amp; Herskovits, 1936, as cited in Rudmin &amp; Ahmzdzadeh, 2001, page 41). The sample consisted of 99 adults, 67 women, and 32 men. These individuals voluntarily participated in this research and were recruited by flyers, e-mail, and word of mouth. Participants completed a packet containing demographic and acculturation questionnaires about their experiences with migrating and acculturating to the social and cultural changes related to a new way of life and living in the Canadian society. It was found that Caribbean immigrants retained their ethnic identity. Women appeared to have experienced more distress than men, to have exhibited bicultural competence and to have had a vast support network and coping strategies. The findings are discussed within the context of acculturation to the Canadian society and will be best understood from a cultural, social, and psychological perspective in better understanding the Caribbean immigrants in Canada. In addition, the limitations of the study and future research direction are presented. (PsycINFO Database Record (c) 2016 APA, all rights reserved)</t>
  </si>
  <si>
    <t>http://search.ebscohost.com.proxy-ub.rug.nl/login.aspx?direct=true&amp;db=psyh&amp;AN=2009-99070-081&amp;site=ehost-live&amp;scope=site</t>
  </si>
  <si>
    <t>Cultural Change and Chinese Immigrants' Distress and Help-Seeking in Hong Kong.</t>
  </si>
  <si>
    <t>Mo, Phoenix K. H.; Mak, Winnie W. S.; Kwan, Carrie S. Y.</t>
  </si>
  <si>
    <t>2007-07748-006</t>
  </si>
  <si>
    <t>10.1300/J051v15n03_06</t>
  </si>
  <si>
    <t>Acculturation; Chinese Cultural Groups; Distress; Help Seeking Behavior; Immigration; Stress; Adulthood (18 yrs &amp; older); Young Adulthood (18-29 yrs); Thirties (30-39 yrs); Middle Age (40-64 yrs); Female</t>
  </si>
  <si>
    <t>The study examined, within a stress-coping paradigm, the contribution of acculturation, enculturation, and acculturative stress to distress and help-seeking among Mainland Chinese immigrants in Hong Kong. One hundred and thirty-one female immigrants were recruited from community service centers. Hierarchical regression results showed that general stress and acculturative stress were linked to distress. Social support did not play a buffering role on distress. Whereas length of residence and social support were strongly related to informal help-seeking, acculturation, along with age and social support, were related to professional help-seeking. Given the differential effects of various cultural change variables, the importance of independently assessing their influence on immigrant mental health and help-seeking is warranted. (PsycINFO Database Record (c) 2016 APA, all rights reserved)</t>
  </si>
  <si>
    <t>http://search.ebscohost.com.proxy-ub.rug.nl/login.aspx?direct=true&amp;db=psyh&amp;AN=2007-07748-006&amp;site=ehost-live&amp;scope=site</t>
  </si>
  <si>
    <t>Cultural context, obsessive-compulsive disorder symptoms, and cognitions: A preliminary study of three Turkish samples living in different countries.</t>
  </si>
  <si>
    <t>Yorulmaz, Orçun; Işık, Bilgen</t>
  </si>
  <si>
    <t>2011-05596-007</t>
  </si>
  <si>
    <t>10.1080/00207594.2010.528423</t>
  </si>
  <si>
    <t>Brainwashing; Cognitions; Obsessive Compulsive Disorder; Symptoms; Cross Cultural Differences; Immigration; Strategies; Adulthood (18 yrs &amp; older); Young Adulthood (18-29 yrs); Thirties (30-39 yrs); Middle Age (40-64 yrs); Male; Female</t>
  </si>
  <si>
    <t>Previous research findings have suggested that recent cognitive accounts of obsessive-compulsive disorder (OCD) are valid across different cultural contexts for both clinical and nonclinical samples; however, there is evidence that cultural differences may have an impact on a number of cognitive variables. For this reason, immigration provides an exceptional opportunity for an examination of the role of cultural context in cognitions and possible changes in cultural characteristics. To this end, the present study examined the interrelationships between thought–action fusion, thought control strategies and OCD symptoms in three nonclinical samples, taking the immigration factor into consideration. Thus, the current study included three Turkish sample groups: those who remigrated to Turkey from Bulgaria, those still living in Bulgaria, and those that have always resided in Turkey. The findings of the study supported the role of thought and action fusion and control strategies in OCD symptoms in a cross-cultural context. To illustrate, worry, as a thought control strategy for OCD symptoms, was a common factor in all three sample groups. However, differences were also noted between the groups, despite having the same ethnic origin. Although they immigrated back to Turkey and have been living there for a considerable period of time, the Turkish remigrants retained similar characteristics to the respondents in Bulgaria on cognitions in general. Consequently, it may be suggested that cultural context might have a relative impact on certain correlates. A replication of these findings using different immigration groups and examining various cultural factors is strongly encouraged. (PsycINFO Database Record (c) 2016 APA, all rights reserved)</t>
  </si>
  <si>
    <t>http://search.ebscohost.com.proxy-ub.rug.nl/login.aspx?direct=true&amp;db=psyh&amp;AN=2011-05596-007&amp;site=ehost-live&amp;scope=site</t>
  </si>
  <si>
    <t>Cultural diversity climate and psychological adjustment at school—Equality and inclusion versus cultural pluralism.</t>
  </si>
  <si>
    <t>Schachner, Maja K.; Noack, Peter; Van de Vijver, Fons J. R.; Eckstein, Katharina</t>
  </si>
  <si>
    <t>Child Development</t>
  </si>
  <si>
    <t>2016-34140-016</t>
  </si>
  <si>
    <t>10.1111/cdev.12536</t>
  </si>
  <si>
    <t>Cross Cultural Differences; Diversity; Emotional Adjustment; School Adjustment; School Environment; Acculturation; Equal Education; Mainstreaming (Educational); Multiculturalism; Cultural Diversity; Childhood (birth-12 yrs); School Age (6-12 yrs); Male; Female</t>
  </si>
  <si>
    <t>The present study is concerned with cultural diversity climate at school and how it relates to acculturation orientations and psychological school adjustment of early adolescent immigrants. Specifically, the distinct role of two types of diversity policy is investigated, namely (a) fostering equality and inclusion and (b) acknowledging cultural pluralism. Longitudinal multilevel analyses based on 386 early adolescent immigrant students (Mage = 10.49 years) in 44 ethnically heterogeneous classrooms in Germany revealed that the manifestations of both types of policies promote psychological school adjustment (i.e., better well‐being and fewer psychological and behavioral problems) at the individual level. However, they differ in their effects on acculturation orientations. At the classroom level, equality and inclusion promote assimilation. Implications for research and educational practice are discussed. (PsycInfo Database Record (c) 2020 APA, all rights reserved)</t>
  </si>
  <si>
    <t>http://search.ebscohost.com.proxy-ub.rug.nl/login.aspx?direct=true&amp;db=psyh&amp;AN=2016-34140-016&amp;site=ehost-live&amp;scope=site</t>
  </si>
  <si>
    <t>Cultural diversity in hospitality work: The Northern Ireland experience.</t>
  </si>
  <si>
    <t>Devine, Frances; Baum, Tom; Hearns, Niamh; Devine, Adrian</t>
  </si>
  <si>
    <t>The International Journal of Human Resource Management</t>
  </si>
  <si>
    <t>2007-04149-010</t>
  </si>
  <si>
    <t>10.1080/09585190601102596</t>
  </si>
  <si>
    <t>Cross Cultural Differences; Employee Characteristics; Human Migration; Tourism; Human Resource Management; Business; Employment Status; Social Integration; Cultural Diversity; Adulthood (18 yrs &amp; older); Young Adulthood (18-29 yrs); Male; Female</t>
  </si>
  <si>
    <t>International workers are a growing category of employees in the hospitality industry of Northern Ireland (NI). The retention and skills shortages of the industry are significant factors in facilitating this increase. Thus, international workers could be an invaluable new source of labour for the hospitality industry, provided that they are properly looked after and managed. However, little is known about the number of people moving to Northern Ireland to take up work in the hospitality industry. This paper sets out to answer some of the 'unknowns'--including nationality, demographic characteristics, educational, employment and economic background. The paper draws on data collected through a survey of migrant workers in nine hotels in Northern Ireland and focus groups with migrant employees in all of the survey establishments. Issues of social integration within the workforce and the wider community as well as the future that migrant workers see for themselves are discussed from a human resource perspective. (PsycInfo Database Record (c) 2020 APA, all rights reserved)</t>
  </si>
  <si>
    <t>http://search.ebscohost.com.proxy-ub.rug.nl/login.aspx?direct=true&amp;db=psyh&amp;AN=2007-04149-010&amp;site=ehost-live&amp;scope=site</t>
  </si>
  <si>
    <t>Cultural identity and adaptation in an assimilative setting: Immigrant soldiers from the former Soviet Union in Israel.</t>
  </si>
  <si>
    <t>Shalom, Uzi Ben; Horenczyk, Gabriel</t>
  </si>
  <si>
    <t>2005-05540-001</t>
  </si>
  <si>
    <t>10.1016/j.ijintrel.2005.01.001</t>
  </si>
  <si>
    <t>Adaptation; Ethnic Identity; Immigration; Military Personnel; Cultural Identity; Adulthood (18 yrs &amp; older); Male; Female</t>
  </si>
  <si>
    <t>In this study, the military served as a specific arena for the contextual examination of the relationship between immigrants' cultural identity and adjustment. Our investigation was grounded in the recent literature suggesting that cultural identity, adaptation, and the relationship between them are affected by contextual factors. We see the military in general, and the Israeli army in particular, as a highly assimilative context. We therefore predicted that national identity would significantly promote immigrant's adaptation. Three hundred and sixty-five young soldiers who had recently immigrated from the former Soviet Union and serving their compulsory military service in the Israeli Defense Forces, completed anonymous questionnaires. Our findings revealed that national identity was indeed positively related to adjustment, especially adjustment to the military setting. In contrast, ethnic identity was not correlated with adjustment. When classified into acculturation categories, according to Berry's bi-dimensional model, individuals in both the 'marginalization' and the 'separation' groups exhibited low levels of adaptation. Common to these two strategies is the rejection of host culture. Three factors--language abilities, sources of cohesion and goals in service--were examined as possible mediators for the effects of national identity on the immigrants' adjustment to military service. National identity was shown to affect adaptation partially through sources of cohesion and goals in service. Theoretical and practical implications are discussed. (PsycInfo Database Record (c) 2020 APA, all rights reserved)</t>
  </si>
  <si>
    <t>http://search.ebscohost.com.proxy-ub.rug.nl/login.aspx?direct=true&amp;db=psyh&amp;AN=2005-05540-001&amp;site=ehost-live&amp;scope=site</t>
  </si>
  <si>
    <t>Cultural identity and adaptation of mainland Chinese immigrants in Hong Kong.</t>
  </si>
  <si>
    <t>Ngo, Hang-yue; Li, Hui</t>
  </si>
  <si>
    <t>American Behavioral Scientist</t>
  </si>
  <si>
    <t>2016-17946-010</t>
  </si>
  <si>
    <t>10.1177/0002764216632837</t>
  </si>
  <si>
    <t>Acculturation; Chinese Cultural Groups; Immigration; Sociocultural Factors; Cultural Identity; Life Satisfaction; Adulthood (18 yrs &amp; older); Young Adulthood (18-29 yrs); Thirties (30-39 yrs); Middle Age (40-64 yrs); Male; Female</t>
  </si>
  <si>
    <t>In this study, we develop a conceptual model to investigate how immigrants’ cultural identity is related to their sociocultural adaptation and life satisfaction in the host society. In our model, we include two types of cultural identity (i.e., identity with the local society and with the home country), which are expected to have differential impacts on the outcome variables. We further propose that assimilation attitude and perception of discrimination serve as potential mediators in the above relationships. Several hypotheses are formulated and tested with a data set collected from a survey of 501 new immigrants from Mainland China to Hong Kong. The results of structural equation modeling indicate that local identity is positively related to assimilation attitude, which is then associated with sociocultural adaptation and life satisfaction of the respondents. Additionally, Mainland identity is found to be positively associated with immigrants’ perceived discrimination, which is then negatively associated with their sociocultural adaptation and life satisfaction. (PsycInfo Database Record (c) 2020 APA, all rights reserved)</t>
  </si>
  <si>
    <t>http://search.ebscohost.com.proxy-ub.rug.nl/login.aspx?direct=true&amp;db=psyh&amp;AN=2016-17946-010&amp;site=ehost-live&amp;scope=site</t>
  </si>
  <si>
    <t>Cultural identity confusion and psychopathology: A mixed-methods study among refugees and asylum seekers in the Netherlands.</t>
  </si>
  <si>
    <t>Groen, Simon P. N.; Richters, Annemiek J. M.; Laban, Cornelis J.; van Busschbach, Jooske T.; Devillé, Walter L. J. M.</t>
  </si>
  <si>
    <t>2019-13663-007</t>
  </si>
  <si>
    <t>10.1097/NMD.0000000000000935</t>
  </si>
  <si>
    <t>Ethnic Identity; Mental Confusion; Psychopathology; Refugees; Asylum Seeking; Arabs; Mental Health; Stress; Test Construction; Cultural Identity; Adolescence (13-17 yrs); Adulthood (18 yrs &amp; older); Young Adulthood (18-29 yrs); Thirties (30-39 yrs); Middle Age (40-64 yrs); Male; Female</t>
  </si>
  <si>
    <t>Abstract Although there is ample empirical evidence that traumatic events, postmigration stress, and acculturation problems have a great impact on the mental health of refugees, so far no studies have included cultural identity after migration in the equation. This mixed-methods study conducted among Afghan and Iraqi refugee and asylum-seeker psychiatric patients aims to fill this gap. Associations between postmigration stress, symptoms of anxiety and depression disorders, and symptoms of posttraumatic stress disorder were significant. When differentiated for the two groups, associations with postmigration stress were no longer significant for Afghan patients, who were predominantly younger and more often single, lower educated, and without resident status compared with Iraqi patients. Qualitative results indicate that, in addition to psychopathology and postmigration stress, acculturation problems contribute to confusion of cultural identity. The findings suggest that reduction of postmigration stress and acculturation problems may clarify cultural identity and as such may contribute to posttraumatic recovery. (PsycInfo Database Record (c) 2020 APA, all rights reserved)</t>
  </si>
  <si>
    <t>http://search.ebscohost.com.proxy-ub.rug.nl/login.aspx?direct=true&amp;db=psyh&amp;AN=2019-13663-007&amp;site=ehost-live&amp;scope=site</t>
  </si>
  <si>
    <t>Cultural orientation and psychosocial adjustment among immigrant adolescents in South Korea.</t>
  </si>
  <si>
    <t>Ryou, Bee; Choi, Yoonsun; Hong, Jun Sung; Kim, Kihyun</t>
  </si>
  <si>
    <t>2019-37234-011</t>
  </si>
  <si>
    <t>10.1007/s10903-018-0808-4</t>
  </si>
  <si>
    <t>Acculturation; Ethnic Identity; Immigration; Psychosocial Readjustment; Aggressiveness; Depression (Emotion); Childhood (birth-12 yrs); School Age (6-12 yrs); Male; Female</t>
  </si>
  <si>
    <t>The present study primarily uses Berry’s theoretical model to examine national identity, acculturation (to South Korea), ethnic identity, and enculturation (to country-of-origin), and how they are linked to immigrant adolescents’ aggression and depression in South Korea. Data were collected from 120 immigrant youths (i.e., those born in South Korea and those born in their country-of-origin) in eight middle schools. Analyses include multivariate regression and cluster analyses. Findings indicate that South Korean identity (m = 48, F = 77.0, p &lt; .001), acculturation to South Korean culture (m = 44.9, F = 52.3, p &lt; .01), and mother’s Korean proficiency (m = 3.6, F = 10.9, p &lt; .001) were higher among Korea-born adolescents. Enculturation (m = 35.5, F = 13.7, p &lt; .001) and depression (m = 36.4, F = 15.3, p &lt; .001) were higher among foreign-born adolescents. Aggression (r = −.26, p &lt; .01) and depression (r = −.46, p &lt; .01) were lower among native-born Korean adolescents. South Korean identity (B = −.27, p = .02) and acculturation (B = −.28, p = .01) were negatively associated with aggression. South Korean identity (B = −.22, p = .04), acculturation (B = −.21, p = .03), and ethnic identity (B = −.17, p = .02) were negatively associated with depression. Integration youth (M = 12.7) and assimilation youth (M = 11.5) reported lower aggression than marginalization youth (M = 15.8, F = 5.48, p &lt; .01). Assimilation type had better outcomes than separation and marginalization types. (PsycInfo Database Record (c) 2020 APA, all rights reserved)</t>
  </si>
  <si>
    <t>http://search.ebscohost.com.proxy-ub.rug.nl/login.aspx?direct=true&amp;db=psyh&amp;AN=2019-37234-011&amp;site=ehost-live&amp;scope=site</t>
  </si>
  <si>
    <t>Cultural value fit of immigrant and minority adolescents: The role of acculturation orientations.</t>
  </si>
  <si>
    <t>Schiefer, David; Möllering, Anna; Daniel, Ella</t>
  </si>
  <si>
    <t>2012-07576-001</t>
  </si>
  <si>
    <t>10.1016/j.ijintrel.2012.02.001</t>
  </si>
  <si>
    <t>Acculturation; Adolescent Attitudes; Immigration; Well Being; Marginalization; Minority Groups; Adolescence (13-17 yrs); Female</t>
  </si>
  <si>
    <t>This study examined the similarity of immigrant and minority adolescents’ cultural values to those shared by the majority of the country they live in, i.e. the cultural value fit. It was hypothesized that immigrant and minority individuals who show different acculturation orientations differ in their cultural value fit. The highest cultural value fit was expected for individuals pursuing an assimilation orientation, the lowest fit for individuals with a separation orientation. Individuals with a marginalization or integration orientation were expected to take a mid position. Survey data were used from immigrant and minority adolescents: Immigrants from countries of the Former Soviet Union (FSU) to Germany (N = 862) and Israel (N = 435), immigrants from Turkey to Germany (N = 664), and members of the Arab minority in Israel (N = 488). Results of Analyses of Variance showed similar patterns in all four samples in line with the hypothesis but pointed also to stronger effects among FSU immigrants as opposed to Turkish immigrants and Arab Israelis. Results are discussed with regard to the general contribution of the cultural fit research for the acculturation research and with regard to the role of cultural value fit for psychological well-being of immigrants and minority members. The stronger effects found among the FSU samples as opposed to the Turkish respectively Arab Israeli sample are discussed against the background of the fact that the former are mainly diaspora-immigrants for which cultural value adaptation to the receiving country might be easier compared to the latter. (PsycInfo Database Record (c) 2020 APA, all rights reserved)</t>
  </si>
  <si>
    <t>http://search.ebscohost.com.proxy-ub.rug.nl/login.aspx?direct=true&amp;db=psyh&amp;AN=2012-07576-001&amp;site=ehost-live&amp;scope=site</t>
  </si>
  <si>
    <t>Cultural values and attitudes toward immigrants and multiculturalism: The case of the Eurobarometer survey on racism and xenophobia.</t>
  </si>
  <si>
    <t>Leong, Chan-Hoong; Ward, Colleen</t>
  </si>
  <si>
    <t>2006-20498-012</t>
  </si>
  <si>
    <t>10.1016/j.ijintrel.2006.07.001</t>
  </si>
  <si>
    <t>Immigration; Racism; Sociocultural Factors; Values; Multiculturalism; Acculturation; Attitudes; Minority Groups; Stranger Reactions</t>
  </si>
  <si>
    <t>The current paper uses archival data to examine variations in Schwartz's and Hofstede's cultural value orientations and their relationship to attitudes toward immigration and multiculturalism reported in the Eurobarometer Survey [Attitudes towards minority groups in the European Union: a special analysis of the Eurobarometer 2000 opinion poll on behalf of the European Monitoring Centre on Racism and Xenophobia. Eurobarometer Opinion Poll. Retrieved September 1, 2003, from http://europa.eu.int/comm/public_opinion/index_en.htm] on racism and xenophobia. The results demonstrated that mastery, masculinity, power distance, uncertainty avoidance, and collectivism were associated with weaker support for policies that promote social co-existence. Masculinity and mastery were also linked to more pessimistic attitudes towards multiculturalism, and increased harmony was correlated with less desire for cultural assimilation. The results largely converge with research undertaken at the individual-level of analysis, and the data suggest four clusters of cultural values related to immigration attitudes: humanitarianism-egalitarianism, conservation, collectivism, and instrumentality. (PsycINFO Database Record (c) 2016 APA, all rights reserved)</t>
  </si>
  <si>
    <t>http://search.ebscohost.com.proxy-ub.rug.nl/login.aspx?direct=true&amp;db=psyh&amp;AN=2006-20498-012&amp;site=ehost-live&amp;scope=site</t>
  </si>
  <si>
    <t>Cultural values and group-related attitudes: A comparison of individuals with and without migration background across 24 countries.</t>
  </si>
  <si>
    <t>Schiefer, David</t>
  </si>
  <si>
    <t>2013-01514-004</t>
  </si>
  <si>
    <t>10.1177/0022022112444898</t>
  </si>
  <si>
    <t>Community Attitudes; Cross Cultural Differences; Ethnic Values; Human Migration; Individual Differences; Adolescence (13-17 yrs); Adulthood (18 yrs &amp; older); Young Adulthood (18-29 yrs); Thirties (30-39 yrs); Middle Age (40-64 yrs); Aged (65 yrs &amp; older); Very Old (85 yrs &amp; older); Male; Female</t>
  </si>
  <si>
    <t>This article argues that individuals’ attitudes toward members of other groups are at least partly shaped by the cultural environment in which the individuals live. Based on the theory of cultural values by Schwartz, it was tested whether cross-country differences in cultural value preferences can explain individual differences in negative group-related attitudes. Furthermore, the present article postulates that individuals with a migration background are less strongly guided by the cultural values of the society in which they live, because they are additionally exposed to cultural values originating from their heritage culture. Samples from 24 countries that were part of the fourth wave of the European Social Survey were examined. Cultural values were assessed using the Portrait Value Questionnaire. Group-related attitudes were operationalized through an index of attitudes toward four different groups. Analyses of hierarchical linear models supported the hypotheses: Participants’ degree of negative group-related attitudes varied as a function of the cultural values inherent in the individuals’ countries. Moreover, weaker effects were found for individuals with migration background compared to individuals without migration background, especially for first-generation immigrants and immigrants from culturally more distant countries. Moreover, country-level cultural values were found to moderate the relationship of individual education and income level with group-related attitudes. Results are discussed with regard to their contribution to the literature on acculturation and with regard to the validity of Schwartz’s cultural value theory. (PsycInfo Database Record (c) 2020 APA, all rights reserved)</t>
  </si>
  <si>
    <t>http://search.ebscohost.com.proxy-ub.rug.nl/login.aspx?direct=true&amp;db=psyh&amp;AN=2013-01514-004&amp;site=ehost-live&amp;scope=site</t>
  </si>
  <si>
    <t>Culturally sensitive depression assessment for Chinese American Immigrants: Development of a comprehensive measure and a screening scale using an item response approach.</t>
  </si>
  <si>
    <t>Wong, Rose; Wu, Rufina; Guo, Carmen; Lam, Julia K.; Snowden, Lonnie R.</t>
  </si>
  <si>
    <t>2011-29005-001</t>
  </si>
  <si>
    <t>10.1037/a0025628</t>
  </si>
  <si>
    <t>Acculturation; Chinese Cultural Groups; Immigration; Major Depression; Psychological Assessment; Asians; Adulthood (18 yrs &amp; older); Young Adulthood (18-29 yrs); Thirties (30-39 yrs); Middle Age (40-64 yrs); Male; Female</t>
  </si>
  <si>
    <t>The present mixed methods study developed a comprehensive measure and a screening scale of depression for Chinese American immigrants by combining an emic approach with item response analysis. Clinical participants were immigrants diagnosed by licensed clinicians who worked in the community. Qualitative interviews with clinicians and clinical participants (N = 63) supported the definition of the construct of depression and the development of a 47-item pilot scale. Clinical and community participants (N = 227) completed the pilot scale, measures of neurasthenia and acculturative stress, and the Patient Health Questionnaire Depression Module (PHQ–9). A Rasch partial credit model of 42 items—representing psychological, somatic and interpersonal domains of distress—best fit the data. Twenty-two items overlapped with the Diagnostic and Statistical Manual of Mental Disorders, 4th edition (DSM–IV) symptoms of major depression. Twenty-seven items were biased by acculturation-related variables. Nine items appropriate for self-report screening in primary care and community organizations were chosen to form a brief scale. Both measures showed strong reliability and concurrent and convergent validity. The 9-item scale had better content validity than the PHQ–9. Implications regarding the impact of culture for assessment are highlighted. (PsycINFO Database Record (c) 2016 APA, all rights reserved)</t>
  </si>
  <si>
    <t>http://search.ebscohost.com.proxy-ub.rug.nl/login.aspx?direct=true&amp;db=psyh&amp;AN=2011-29005-001&amp;site=ehost-live&amp;scope=site</t>
  </si>
  <si>
    <t>Culture, context, and the internalizing distress of Mexican American youth.</t>
  </si>
  <si>
    <t>Polo, Antonio J.; López, Steven R.</t>
  </si>
  <si>
    <t>Journal of Clinical Child and Adolescent Psychology</t>
  </si>
  <si>
    <t>2009-03962-009</t>
  </si>
  <si>
    <t>10.1080/15374410802698370</t>
  </si>
  <si>
    <t>Culture (Anthropological); Distress; Internalization; Mexican Americans; Sociocultural Factors; Adolescent Attitudes; Childhood (birth-12 yrs); School Age (6-12 yrs); Adolescence (13-17 yrs); Male; Female</t>
  </si>
  <si>
    <t>Latino youth appear to be at higher risk for depression relative to youth from other ethnic groups. This study assessed the relationship between nativity and several forms of internalizing distress among Mexican American middle school students as well as sociocultural factors that may help explain this relationship. Immigrant Mexican American youth (n = 78) reported significantly higher social anxiety and loneliness than U.S.-born Mexican American youth (n = 83). Acculturation stress and English proficiency were identified as significant mediators of these nativity differences. Although internalizing problems and depression symptoms did not vary across nativity groups, both were related to lower affiliative obedience. The findings point to cultural socialization values and contextual influences as important variables in the mental health of youth in immigrant families. (PsycINFO Database Record (c) 2018 APA, all rights reserved)</t>
  </si>
  <si>
    <t>http://search.ebscohost.com.proxy-ub.rug.nl/login.aspx?direct=true&amp;db=psyh&amp;AN=2009-03962-009&amp;site=ehost-live&amp;scope=site</t>
  </si>
  <si>
    <t>Culture-specific development of early mother–infant emotional co-regulation: Italian, Cameroonian, and West African immigrant dyads.</t>
  </si>
  <si>
    <t>Lavelli, Manuela; Carra, Cecilia; Rossi, Germano; Keller, Heidi</t>
  </si>
  <si>
    <t>Developmental Psychology</t>
  </si>
  <si>
    <t>2019-50498-004</t>
  </si>
  <si>
    <t>10.1037/dev0000696</t>
  </si>
  <si>
    <t>Cross Cultural Differences; Emotional Development; Emotional Regulation; Immigration; Interpersonal Communication; Acculturation; African Cultural Groups; Dyads; Emotionality (Personality); Family; Mother Child Relations; Rural Environments; Childhood (birth-12 yrs); Infancy (2-23 mo); Adulthood (18 yrs &amp; older); Male; Female</t>
  </si>
  <si>
    <t>Studies conducted in Western countries document the special role of mother–infant face-to-face exchanges for early emotional development including social smiling. A few cross-cultural studies have shown that the Western pattern of face-to-face communication is absent in traditional rural cultures, without identifying other processes that promote emotional Co-regulation. The present study compared three different samples: Western middle-class families in Italy, rural traditional Nso farmer families in Cameroon, and West African sub-Saharan immigrant families in Italy using biweekly observations of 20 mother–infant dyads from each cultural context from age 4 to 12 weeks. Longitudinal sequential analysis of maternal and infant behaviors showed that from as early as 4 weeks, in Italian dyads maternal affectionate talking is linked with infant active attention to mother in sequences of face-to-face contact; this link fosters the subsequent emergence of infant smiling/cooing, and then sequences of positive feedback between infant and maternal emotional expressions that, by the 3rd month, dynamically stabilize. In contrast, for Cameroonian/Nso dyads over the 2nd and 3rd month, maternal motor stimulation marked by rhythmic vocalizing is linked with infant active attention to surroundings. The relatively few smiling/cooing actions of Nso babies at their mothers were answered mainly with tactile stimulation that did not foster the maintenance of face-to-face visual contact. Finally, West African immigrant dyads showed a combination of both face-to-face and sensorimotor coregulated exchanges observed in their new and native cultures. These findings suggest that emotional Co-regulation in early infancy can occur via multiple, culture-specific pathways that may be substantially different from the western pattern of face-to-face communication. (PsycInfo Database Record (c) 2020 APA, all rights reserved)</t>
  </si>
  <si>
    <t>http://search.ebscohost.com.proxy-ub.rug.nl/login.aspx?direct=true&amp;db=psyh&amp;AN=2019-50498-004&amp;site=ehost-live&amp;scope=site</t>
  </si>
  <si>
    <t>Culturing settlement using pre- and post-migration strategies.</t>
  </si>
  <si>
    <t>Ward, C.; Styles, I.</t>
  </si>
  <si>
    <t>Journal of Psychiatric and Mental Health Nursing</t>
  </si>
  <si>
    <t>2005-07716-007</t>
  </si>
  <si>
    <t>10.1111/j.1365-2850.2005.00853.x</t>
  </si>
  <si>
    <t>Acculturation; Homesickness; Human Females; Human Migration; Strategies; Adulthood (18 yrs &amp; older); Young Adulthood (18-29 yrs); Thirties (30-39 yrs); Middle Age (40-64 yrs); Aged (65 yrs &amp; older); Female</t>
  </si>
  <si>
    <t>Appropriate pre- and post-migration strategies could buffer the possible negative impact of migration and assist in settlement. This cross-sectional study used both quantitative and qualitative approaches to establish the impact of migration on women from Britain (n = 154) now living in Perth, Western Australia; from these participants 40 were selected for in-depth interview. Bowlby's grieving process was used as a theoretical framework to explore grief reactions to leaving the homeland (homesickness) resulting from exposure to a new culture. Crucial to successful settlement was the nature of strategies the women used to negotiate the grieving process. Participants who successfully settled and re-invented themselves engaged in more social, cultural and country activities - those participants who were less successful in this endeavour tended toward more solitary strategies. The study has social implications for future migrants to utilize appropriate strategies that could reduce the psychological impact of relocation. (PsycINFO Database Record (c) 2016 APA, all rights reserved)</t>
  </si>
  <si>
    <t>http://search.ebscohost.com.proxy-ub.rug.nl/login.aspx?direct=true&amp;db=psyh&amp;AN=2005-07716-007&amp;site=ehost-live&amp;scope=site</t>
  </si>
  <si>
    <t>Daily spiritual experiences, social support, and depression among elderly Korean immigrants.</t>
  </si>
  <si>
    <t>Park, Jisung; Roh, Soonhee</t>
  </si>
  <si>
    <t>2013-03471-012</t>
  </si>
  <si>
    <t>10.1080/13607863.2012.715138</t>
  </si>
  <si>
    <t>Aging; Major Depression; Quality of Life; Social Support; Spirituality; Coping Behavior; Immigration; Adulthood (18 yrs &amp; older); Aged (65 yrs &amp; older); Very Old (85 yrs &amp; older); Male; Female</t>
  </si>
  <si>
    <t>Objectives: This study examined the associations of daily spiritual experiences (DSE) and social support with depression to find viable coping resources and enhance the quality of life among elderly Korean immigrants. Method: We used Smith’s (2003) theory of religious effects and Baron and Kenny’s (1986) approach for mediation analysis to explain the mediating role of social support between DSE and depression. The sample consisted of 200 elderly Korean immigrants who were aged 65 or older (mean age = 72.5, range = 65–89) living in the New York City Metropolitan area. Hierarchical regression model was used with SPSS version 17.0 to analyze cross-sectional data. Results: Elderly Korean immigrants in the present sample were found to be moderately engaged in DSE but not experiencing a fair level of social support. Respondents reported no depression on the average but 30% of them (60 out of 200 respondents) were experiencing mild to severe depression. Both DSE and social support were inversely related with depression, and the relationship between DSE and depression was mediated by social support. Conclusion: These findings are only suggestive and should not be generalized to a larger population. However, this study supports the importance of DSE and social support in the life of elderly Korean immigrants as a way to alleviate depression. Mental health professionals may consider facilitating social network when elderly Korean immigrants suffer from depression. (PsycINFO Database Record (c) 2016 APA, all rights reserved)</t>
  </si>
  <si>
    <t>http://search.ebscohost.com.proxy-ub.rug.nl/login.aspx?direct=true&amp;db=psyh&amp;AN=2013-03471-012&amp;site=ehost-live&amp;scope=site</t>
  </si>
  <si>
    <t>Demographic influences and suggested cut-scores for the Beck Depression Inventory in a non-clinical Spanish speaking population from the US-Mexico border region.</t>
  </si>
  <si>
    <t>Dawes, S. E.; Suarez, P.; Vaida, F.; Marcotte, T. D.; Atkinson, J. H.; Grant, I.; Heaton, R.; Cherner, M.</t>
  </si>
  <si>
    <t>International Journal of Culture and Mental Health</t>
  </si>
  <si>
    <t>2010-12421-004</t>
  </si>
  <si>
    <t>10.1080/17542860903533640</t>
  </si>
  <si>
    <t>Beck Depression Inventory; Demographic Characteristics; Major Depression; Psychometrics; Latinos/Latinas; Foreign Language Translation; Symptoms; Adulthood (18 yrs &amp; older); Young Adulthood (18-29 yrs); Thirties (30-39 yrs); Middle Age (40-64 yrs); Male; Female</t>
  </si>
  <si>
    <t>The Beck Depression Inventory-I (BDI-I) is a self-report measure of depressive symptomatology that is widely used in both research and clinical settings. While the Spanish language version of the BDI-I is frequently used in the USA, there are currently no available guidelines to determine depressive symptomatology base rates in Spanish speaking populations using this instrument. In the present study, base rates of depressive symptoms and demographic influences on the BDI-I were measured in a non-clinical Spanish speaking population from the US-Mexico border region. A sample of 198 neurologically normal Spanish speaking individuals, mostly of Mexican decent, completed the BDI-I as part of a larger neuropsychological norming study. The results indicated that while there were no effects of age or education on overall BDI-I scores, those with lower education tended to report higher severity of individual symptoms. Consistent with findings in other populations, women endorsed a greater number of depressive symptoms. Therefore separate cut-scores were derived for men and women to represent these differences. Future research should assess the impact of acculturation and socioeconomic stressors on the BDI scores in this mostly immigrant population. (PsycINFO Database Record (c) 2016 APA, all rights reserved)</t>
  </si>
  <si>
    <t>http://search.ebscohost.com.proxy-ub.rug.nl/login.aspx?direct=true&amp;db=psyh&amp;AN=2010-12421-004&amp;site=ehost-live&amp;scope=site</t>
  </si>
  <si>
    <t>Demography, Immigration Background, Difficulties with Living in Japan, and Psychological Distress among Japanese Brazilians in Japan.</t>
  </si>
  <si>
    <t>Asakura, Takashi; Murata, Alice K.</t>
  </si>
  <si>
    <t>2006-12046-004</t>
  </si>
  <si>
    <t>10.1007/s10903-006-9003-0</t>
  </si>
  <si>
    <t>Acculturation; Demographic Characteristics; Distress; Immigration; Latinos/Latinas; Coping Behavior; Dissatisfaction; Psychological Stress; Social Adjustment; Socioeconomic Status; Adolescence (13-17 yrs); Adulthood (18 yrs &amp; older); Young Adulthood (18-29 yrs); Thirties (30-39 yrs); Middle Age (40-64 yrs); Male; Female</t>
  </si>
  <si>
    <t>This study examined the relationship of demography, immigration background, and concerns and difficulties associated with living in Japan to nonpsychotic psychological disturbance (i.e., 'caseness') measured by the GHQ-12. Data are from a sample of 265 Japanese Brazilians (JB) residing outside the Tokyo Metropolitan area. Employing multiple logistic regression analyses, it was found that JB who experienced lower economic conditions, lived alone, stayed relatively longer in Japan, migrated to Japan due to their dissatisfaction with the socio-economic conditions in Brazil, and who experienced severe family life concerns had a significantly higher ratio of 'caseness,' that is psychologically distressed. In contrast, JB over the age of 25 years, who acquired moderate Japanese language proficiency and decided to return to Brazil as soon as possible, were observed to have a significantly lower ratio of psychological distress. Sociocultural and situational interpretations of the findings are presented. (PsycINFO Database Record (c) 2016 APA, all rights reserved)</t>
  </si>
  <si>
    <t>http://search.ebscohost.com.proxy-ub.rug.nl/login.aspx?direct=true&amp;db=psyh&amp;AN=2006-12046-004&amp;site=ehost-live&amp;scope=site</t>
  </si>
  <si>
    <t>Depression among elderly Korean immigrants: Exploring socio-cultural factors.</t>
  </si>
  <si>
    <t>Lee, Hee Y.; Moon, Ailee; Knight, Bob G.</t>
  </si>
  <si>
    <t>2005-07199-001</t>
  </si>
  <si>
    <t>10.1300/J051v13n04_01</t>
  </si>
  <si>
    <t>Demographic Characteristics; Immigration; Korean Cultural Groups; Major Depression; Sociocultural Factors; Adulthood (18 yrs &amp; older); Middle Age (40-64 yrs); Aged (65 yrs &amp; older); Very Old (85 yrs &amp; older); Male; Female</t>
  </si>
  <si>
    <t>This study examined predictors of depression in a sample of 95 elderly Korean immigrants aged 60 or over. Depression among Korean immigrants was hypothesized to be associated with socio-demographic and cultural factors, including health status, gender, education, financial status, acculturation level, familism, social support, especially from the family, and family relationships. A face-to-face interview was conducted in Korean using a structured questionnaire. Depression in this study was measured using the Center for Epidemiological Studies of Depression (CES-D) Scale. A substantial percentage of the sample was experiencing a high level of depression. The mean score on the CES-D scale was 15.1, slightly below 16, a cut-off score for clinical depression, and almost 40% of the respondents scored 16 or above on the scale, indicating a high rate of clinical depression for the study sample. In multiple regression analyses, perceived health status and education were significant predictors among socio-demographic factors. Among cultural factors, acculturation status was not a significant predictor; however, positive support from the family and family relationships were significantly associated with depression. The role of family as a risk factor for depression in older Korean immigrants and implications for mental health policy, programs, and future research are discussed. (PsycINFO Database Record (c) 2017 APA, all rights reserved)</t>
  </si>
  <si>
    <t>http://search.ebscohost.com.proxy-ub.rug.nl/login.aspx?direct=true&amp;db=psyh&amp;AN=2005-07199-001&amp;site=ehost-live&amp;scope=site</t>
  </si>
  <si>
    <t>Depression among Korean immigrant elders living in Canada and the United States: A comparative study.</t>
  </si>
  <si>
    <t>Kim, Wooksoo; Kang, Suk-Young; Kim, Isok</t>
  </si>
  <si>
    <t>2014-57135-006</t>
  </si>
  <si>
    <t>10.1080/01634372.2014.919977</t>
  </si>
  <si>
    <t>Aging; Immigration; Korean Cultural Groups; Major Depression; Regional Differences; Adulthood (18 yrs &amp; older); Aged (65 yrs &amp; older); Male; Female</t>
  </si>
  <si>
    <t>Korean immigrant elders in North America experience a high level of depression. This study explored the correlates of depression among a sample of 245 Korean immigrant elders living in metropolitan cities in Canada (n = 128) and a southwestern state in the United States (n = 117), using a stress-coping framework. Results revealed discrepancies between the 2 subgroups. Years since immigration and number of health concerns were positively associated, and English proficiency was negatively associated with depressive symptoms among Korean immigrant elders in the United States; only health status was significant among Korean immigrant elders in Canada. Implications of the study are presented. (PsycINFO Database Record (c) 2018 APA, all rights reserved)</t>
  </si>
  <si>
    <t>http://search.ebscohost.com.proxy-ub.rug.nl/login.aspx?direct=true&amp;db=psyh&amp;AN=2014-57135-006&amp;site=ehost-live&amp;scope=site</t>
  </si>
  <si>
    <t>Depression among Korean immigrants: The influence of acculturation and social support.</t>
  </si>
  <si>
    <t>Lee, Jin Hee</t>
  </si>
  <si>
    <t>11-B(E)</t>
  </si>
  <si>
    <t>2016-58394-211</t>
  </si>
  <si>
    <t>Acculturation; Depression (Emotion); Immigration; Social Support; Adulthood (18 yrs &amp; older)</t>
  </si>
  <si>
    <t>Introduction: Depression is prevalent among U.S. immigrants, including Korean immigrants. However, little is known about factors that may contribute to their depression. Preliminary evidence suggests that less acculturated individuals are at greater risk for depression but that social support may buffer any negative effects of less acculturation. The aims of this study were to examine the relationship between acculturation and depressive symptoms among Korean immigrants and the moderating role of social support. Methods: A convenience sample of 132 adult Korean immigrants completed 6 self-report measures: the Center for Epidemiologic Studies Depression Scale, a Korean version of the Acculturation Rating Scale for Mexican Americans-II, the Multi-Dimensional Scale of Perceived Social Support, the Perceived Stress Scale, the MacArthur Scale of Subjective Social Status, and a demographic questionnaire. Hierarchical regression analysis was used to examine the aims, controlling for covariates. Results: 31% of the sample met the criteria for being depressed. Greater acculturation was associated with more depressive symptoms while greater social support was a significant predictor of fewer symptoms. Social support was more strongly related to less depression among immigrants who were less acculturated than among immigrants who were more acculturated, but this difference was not significant. Perceived stress was the most significant predictor of depression. Older age at immigration and less education were also related to greater depression. Variables in the regression model accounted for 65% of the variance in predicting depression. Conclusions: Findings indicate a high prevalence of depressive symptoms in this Korean immigrant sample. Results also suggest that acculturation per se may not play a major role in depressive symptoms but rather more specific factors associated with acculturation such as age at immigration and educational levels. These factors should be studied in future research, along with efforts to better understand the causes of stress and impaired social networks in this population. Findings point to a need for regular assessment of depression by health care providers as well as the stress and social support available in a Korean immigrant's life. Results also suggest that community-based prevention programs to address these problems may be warranted. (PsycINFO Database Record (c) 2017 APA, all rights reserved)</t>
  </si>
  <si>
    <t>http://search.ebscohost.com.proxy-ub.rug.nl/login.aspx?direct=true&amp;db=psyh&amp;AN=2016-58394-211&amp;site=ehost-live&amp;scope=site</t>
  </si>
  <si>
    <t>Depression among unaccompanied minor refugees: The relative contribution of general and acculturation-specific daily hassles.</t>
  </si>
  <si>
    <t>Keles, Serap; Friborg, Oddgeir; Idsøe, Thormod; Sirin, Selcuk; Oppedal, Brit</t>
  </si>
  <si>
    <t>2016-12083-006</t>
  </si>
  <si>
    <t>10.1080/13557858.2015.1065310</t>
  </si>
  <si>
    <t>Acculturation; Depression (Emotion); Refugees; Structural Equation Modeling; Trauma; Adulthood (18 yrs &amp; older); Male</t>
  </si>
  <si>
    <t>Objectives: This study is designed to provide an empirical conceptualization of daily hassles among unaccompanied refugees, and whether they might affect mental health of young refugees after resettlement. First, we examined the underlying structure of daily hassles conceptualized as measuring general and acculturation-specific hassles. Second, we examined whether these two distinct categories of daily hassles significantly contribute to depression above and beyond the impact of premigration trauma. Design: The study was based on self-report questionnaire data collected from 895 unaccompanied refugees who had been granted residence in Norway. Results: Using structural equation modeling, the results confirmed the grouping of hassles in two general categories, which explained 43% of the variance in depression. Conclusion: The findings underscore the importance of current life conditions for unaccompanied refugees' mental health. (PsycINFO Database Record (c) 2016 APA, all rights reserved)</t>
  </si>
  <si>
    <t>http://search.ebscohost.com.proxy-ub.rug.nl/login.aspx?direct=true&amp;db=psyh&amp;AN=2016-12083-006&amp;site=ehost-live&amp;scope=site</t>
  </si>
  <si>
    <t>Depression and anxiety among first-generation immigrant Latino youth.</t>
  </si>
  <si>
    <t>Potochnick, Stephanie R.; Perreira, Krista M.</t>
  </si>
  <si>
    <t>2010-14349-002</t>
  </si>
  <si>
    <t>10.1097/NMD.0b013e3181e4ce24</t>
  </si>
  <si>
    <t>Anxiety; Major Depression; Well Being; Acculturation; Immigration; Risk Factors; Childhood (birth-12 yrs); School Age (6-12 yrs); Adolescence (13-17 yrs); Adulthood (18 yrs &amp; older); Young Adulthood (18-29 yrs); Male; Female</t>
  </si>
  <si>
    <t>We examined how the migration and acculturation experiences of first-generation Latino youth contributed to their psychological well-being. Data came from the LAMHA (Latino Adolescent Migration, Health, and Adaptation) study, which surveyed 281 first-generation Latino immigrant youth, ages 12 to 19. Using logistic regression, we evaluated how migration stressors (i.e., traumatic events, choice of migration, discrimination, and documentation status) and migration supports (i.e. family and teacher support, acculturation, and personal-motivation) were associated with depressive symptoms and anxiety. We found that migration stressors increased the risk of both depressive symptoms and anxiety. Time in the United States and support from family and teachers reduced the risk of depressive symptoms and anxiety. Compared with documented adolescents, undocumented adolescents were at greater risk of anxiety, and children in mixed-status families were at greater risk of anxiety and marginally greater risk of depressive symptoms. (PsycINFO Database Record (c) 2016 APA, all rights reserved)</t>
  </si>
  <si>
    <t>http://search.ebscohost.com.proxy-ub.rug.nl/login.aspx?direct=true&amp;db=psyh&amp;AN=2010-14349-002&amp;site=ehost-live&amp;scope=site</t>
  </si>
  <si>
    <t>Depression in non-Korean women residing in South Korea following marriage to Korean men.</t>
  </si>
  <si>
    <t>Kim, Hyun-Sil; Kim, Hun-Soo</t>
  </si>
  <si>
    <t>Archives of Psychiatric Nursing</t>
  </si>
  <si>
    <t>2013-12961-001</t>
  </si>
  <si>
    <t>10.1016/j.apnu.2013.02.005</t>
  </si>
  <si>
    <t>Acculturation; Exogamous Marriage; Major Depression; Wives; Human Females; Korean Cultural Groups; Language; Life Satisfaction; Literacy; Marriage; Stress; Adulthood (18 yrs &amp; older); Young Adulthood (18-29 yrs); Thirties (30-39 yrs); Middle Age (40-64 yrs); Female</t>
  </si>
  <si>
    <t>Purpose: The purpose of the study was to examine the roles of acculturative stress, life satisfaction, and language literacy in depression in non-Korean women residing in South Korea following marriage to Korean men. Methods: A cross-sectional study was performed, using an anonymous, self-reporting questionnaire. A total of 173 women were selected using a proportional stratified random sampling method. The relation between acculturation, depression, language literacy, life satisfaction and socio-demographic variables and the predictors of depression among participants were analyzed. The analysis included descriptive statistics and hierarchical multiple regression. Results: Of the participants, 9.2% had depression, which was almost twice the rate of depression found in the general Korean population. In hierarchical multiple regression analysis, acculturative stress (beta = −.325, P &lt; .001) and life satisfaction (beta = −.282, P = .003) were significantly associated with the level of depression. This final model was statistically significant and life satisfaction, acculturative stress, language literacy accounted for 31.0% (adjusted R²) of the variance in the depression score (P &lt; .001). Conclusions: Elevated acculturative stress and less life satisfaction were significantly associated with a higher level of depression in migrant wives in Korea. Implications for practice and research are discussed. (PsycINFO Database Record (c) 2019 APA, all rights reserved)</t>
  </si>
  <si>
    <t>http://search.ebscohost.com.proxy-ub.rug.nl/login.aspx?direct=true&amp;db=psyh&amp;AN=2013-12961-001&amp;site=ehost-live&amp;scope=site</t>
  </si>
  <si>
    <t>Depression in older Chinese migrants to Auckland.</t>
  </si>
  <si>
    <t>Abbott, Max W.; Wong, Sai; Giles, Lynne C.; Wong, Sue; Young, Wilson; Au, Ming</t>
  </si>
  <si>
    <t>Australian and New Zealand Journal of Psychiatry</t>
  </si>
  <si>
    <t>2003-05924-008</t>
  </si>
  <si>
    <t>10.1046/j.1440-1614.2003.01212.x</t>
  </si>
  <si>
    <t>Epidemiology; Immigration; Major Depression; Psychiatric Symptoms; Risk Factors; Asians; Adulthood (18 yrs &amp; older); Middle Age (40-64 yrs); Aged (65 yrs &amp; older); Male; Female</t>
  </si>
  <si>
    <t>Objective: This study was conducted to identify risk factors for depressive symptomatology among older Chinese migrants. Method: One hundred and sixty-two Chinese migrants aged 55 years or older, living in the community and recruited via Chinese community organizations and general practitioners, were interviewed using a Chinese version of the Geriatric Depression Scale and measures of stressful life events, morbid conditions, self-rated health, acculturation, social support and service utilization. Result: Twenty-six percent of participants met the criteria for depressive symptomatology. No recent migrants showed symptoms of depression. Multiple logistic regression analysis showed that lower emotional support, greater number of visits to a doctor, difficulties in accessing health services and low New Zealand cultural orientation increased the risk of showing symptoms of depression. Conclusion: Significant numbers of older Chinese migrants appear to be depressed or at risk for depression and, while participants with depressive symptoms consulted general practitioners more than their counterparts without such symptoms, they reported greater difficulty in accessing health services... (PsycINFO Database Record (c) 2016 APA, all rights reserved)</t>
  </si>
  <si>
    <t>http://search.ebscohost.com.proxy-ub.rug.nl/login.aspx?direct=true&amp;db=psyh&amp;AN=2003-05924-008&amp;site=ehost-live&amp;scope=site</t>
  </si>
  <si>
    <t>Depression, anxiety, and acculturative stress among resettled Bhutanese refugees in Australia.</t>
  </si>
  <si>
    <t>Lumley, Mia; Katsikitis, Mary; Statham, Dixie</t>
  </si>
  <si>
    <t>2018-40223-006</t>
  </si>
  <si>
    <t>10.1177/0022022118786458</t>
  </si>
  <si>
    <t>Acculturation; Anxiety; Depression (Emotion); Refugees; Stress; Mental Health; Adulthood (18 yrs &amp; older); Young Adulthood (18-29 yrs); Thirties (30-39 yrs); Middle Age (40-64 yrs); Aged (65 yrs &amp; older); Male; Female</t>
  </si>
  <si>
    <t>Despite awareness of the difficulties faced by refugees in flight, little is known about their mental health following resettlement. This article investigated rates, predictors, and moderators of anxiety, depression, and acculturative stress among members of the resettled Bhutanese refugee community in northern Queensland. A total of 148 participants (51% male), 18 to 83 years of age, participated in this cross-sectional study. A questionnaire was comprised of bilingual (English–Nepali) versions of the Depression, Anxiety, and Stress Scale (DASS-21; anxiety and depression), the Multidimensional Acculturative Stress Scale (MASS; acculturative stress), Brief-COPE (coping style), Multidimensional Scale of Perceived Social Support (MSPSS; social support), and socio-demographics. Participants reported severe levels of anxiety and moderate levels of depression, and moderate to high levels of acculturative stress. Acculturative stress was a substantive contributor to both depression and anxiety scores. Additional risk factors included the use of maladaptive/avoidant coping styles, age, and education. English language proficiency was strongly protective, as was education to Year 12 and current employment. This research is the first of its kind with this refugee group in Australia, and highlights the longevity and severity of mental health issues that affect Bhutanese refugees resettled in Australia. (PsycInfo Database Record (c) 2020 APA, all rights reserved)</t>
  </si>
  <si>
    <t>http://search.ebscohost.com.proxy-ub.rug.nl/login.aspx?direct=true&amp;db=psyh&amp;AN=2018-40223-006&amp;site=ehost-live&amp;scope=site</t>
  </si>
  <si>
    <t>Depressive symptoms and acculturative stress among Afghan immigrants in the United States.</t>
  </si>
  <si>
    <t>Wahidi, Salma</t>
  </si>
  <si>
    <t>4-B(E)</t>
  </si>
  <si>
    <t>2015-99200-461</t>
  </si>
  <si>
    <t>Acculturation; Depression (Emotion); Immigration; Marginalization; Stress; Symptoms; Adulthood (18 yrs &amp; older)</t>
  </si>
  <si>
    <t>This study examined the relationship between acculturative stress and depressive symptoms among Afghan immigrants who migrated to the United States after 18 years of age. This study was conducted on a sample of 23 non-randomly chosen Afghan immigrants who were at least 25 years of age, migrated to the United States after 18 years of age, and lived in the United States for at least 2 years. The participants were recruited from different cities, such as San Francisco, Sacramento, Minneapolis, Hartford, and Los Angeles. In this study, acculturative stress was measured using Suinn Lew Asian Self Identity Acculturation Scale (SL-ASIA) and depressive symptoms were measured using Beck Depression Inventory (BDI-II). Results indicate presence of a positive relationship between acculturative stress and depressive symptoms among Afghan immigrants who immigrated to the United States after 18 years of age. In the present study, individual identity, interpersonal relationships, language use, and cultural or traditional practices of most of the participants reflected and manifested Afghan heritage. Results further suggest that Afghan immigrants maintained their traditional customs and values while showing some acculturation to the U.S. culture. (PsycINFO Database Record (c) 2016 APA, all rights reserved)</t>
  </si>
  <si>
    <t>http://search.ebscohost.com.proxy-ub.rug.nl/login.aspx?direct=true&amp;db=psyh&amp;AN=2015-99200-461&amp;site=ehost-live&amp;scope=site</t>
  </si>
  <si>
    <t>Depressive symptoms and health problems among Chinese immigrant elders in the US and Chinese elders in China.</t>
  </si>
  <si>
    <t>Wu, Bei; Chi, Iris; Plassman, Brenda L.; Guo, Man</t>
  </si>
  <si>
    <t>2010-16635-006</t>
  </si>
  <si>
    <t>10.1080/13607860802427994</t>
  </si>
  <si>
    <t>Epidemiology; Geriatric Assessment; Immigration; Major Depression; Symptoms; Acculturation; Asians; Health; Social Isolation; Stress; Adulthood (18 yrs &amp; older); Aged (65 yrs &amp; older); Male; Female</t>
  </si>
  <si>
    <t>Objectives: Researchers speculate that depression tends to be more prevalent among immigrant elders due to their lack of resources, acculturation stress, language problems, and social isolation. However, other characteristics of elderly immigrants, such as the healthy immigrant effect, may counteract these potential risk factors. This study examined whether depressive symptoms differed between Chinese immigrant elders and their counterparts in China and whether health conditions were similarly associated with depressive symptoms in these two samples. Methods: Depression and health information was collected from 177 Chinese immigrant elders in Boston, the US in 2000 and from 428 education and gender-matched elders in Shanghai, China in 2003. Results: Chinese immigrants had a significantly lower score on the modified Center for Epidemiologic Studies Depression Scale (CES-D) and its subscales: somatic symptoms and depressive affect. The association remained for the subscale depressive affect in multivariate analyses. Arthritis and back or neck problems were associated with a higher level of depressive symptoms among Chinese immigrants, while problems in walking were associated with depression among their counterparts in China. Pain was an underlying contributor to the association between depression and these health problems in both the groups. Conclusions: This study suggests that Chinese immigrant elders might be more resilient than their counterparts despite many challenges they face after moving abroad. With the growing number of older Chinese immigrants in the US, a better understanding of depressive symptoms is essential to provide culturally competent services to better serve this population. (PsycINFO Database Record (c) 2016 APA, all rights reserved)</t>
  </si>
  <si>
    <t>http://search.ebscohost.com.proxy-ub.rug.nl/login.aspx?direct=true&amp;db=psyh&amp;AN=2010-16635-006&amp;site=ehost-live&amp;scope=site</t>
  </si>
  <si>
    <t>Depressive Symptoms in the Immediate Postpartum Period Among Hispanic Women in Three U.S. Cities.</t>
  </si>
  <si>
    <t>Kuo, Wen-Hung; Wilson, Tracey E.; Holman, Susan; Fuentes-Afflick, Elena; O'Sullivan, Mary Jo; Minkoff, Howard</t>
  </si>
  <si>
    <t>2004-20061-001</t>
  </si>
  <si>
    <t>10.1023/B:JOIH.0000045252.10412.fa</t>
  </si>
  <si>
    <t>Epidemiology; Mothers; Postpartum Depression; Psychosocial Factors; Latinos/Latinas; Adulthood (18 yrs &amp; older); Young Adulthood (18-29 yrs); Thirties (30-39 yrs); Female</t>
  </si>
  <si>
    <t>The aim of this was to examine rates and determinants of depressive symptomatology in the immediate postpartum period among Hispanic women in the United States. A total of 3,952 Hispanic women who had delivered infants (parturients) were interviewed in postpartum wards in Miami, New York City and San Francisco. Symptoms of depression were regressed onto a series of social, psychological, and socioeconomic variables. Results showed that 42.6% of participants were probable cases of depression (CES-D ≥ 16). Depression was negatively associated with perceived level of social support (adjusted OR = 0.59, 95% CI: 0.53-0.67) and health insurance coverage (adjusted OR = 0.68, 95% CI: 0.49-0.95), but not with the degree of acculturation or immigration status. It was found that depressive symptoms are common among Hispanic parturients. Pregnant Hispanic women should be carefully monitored for signs of depression and appropriate preventive measures are needed. (PsycINFO Database Record (c) 2019 APA, all rights reserved)</t>
  </si>
  <si>
    <t>http://search.ebscohost.com.proxy-ub.rug.nl/login.aspx?direct=true&amp;db=psyh&amp;AN=2004-20061-001&amp;site=ehost-live&amp;scope=site</t>
  </si>
  <si>
    <t>Determinants of changes in dietary patterns among Chinese immigrants: A cross-sectional analysis.</t>
  </si>
  <si>
    <t>Rosenmöller, Doenja L.; Gasevic, Danijela; Seidell, Jaap; Lear, Scott A.</t>
  </si>
  <si>
    <t>The International Journal of Behavioral Nutrition and Physical Activity</t>
  </si>
  <si>
    <t>2012-31123-001</t>
  </si>
  <si>
    <t>10.1186/1479-5868-8-42</t>
  </si>
  <si>
    <t>Cardiovascular Disorders; Chinese Cultural Groups; Diets; Immigration; Lifestyle Changes; Demographic Characteristics; Nutrition; Risk Factors; Adulthood (18 yrs &amp; older); Thirties (30-39 yrs); Middle Age (40-64 yrs); Aged (65 yrs &amp; older); Male; Female</t>
  </si>
  <si>
    <t>Background: Chinese individuals who have immigrated to a Western country initially tend to have a lower risk of cardiovascular disease (CVD) compared to people who are already living there. Some studies have found, however, that CVD risk increases over time in immigrants and that immigration to a western country is associated with changes in dietary patterns. This could have unfavourable effects on the risk of CVD. There is limited knowledge on the food patterns, awareness and knowledge about healthy nutrition among Chinese immigrants. The objective for this study is to explore changes in food patterns, and levels of awareness and knowledge of healthy nutrition by length of residence among Chinese immigrants to Canada. Methods: 120 Chinese individuals born in China but currently living in Canada completed an assessment on socio-demographic characteristics, changes in dietary patterns and variables of awareness and knowledge about healthy foods. With ordinal logistic regression the associations between the quartiles of length of residence and dietary patterns, variables of awareness and knowledge about healthy foods were explored, adjusting for age, sex, education and body mass index. Results: More than 50% of the participants reported increasing consumption of fruits and vegetables, decreasing the use of deep-frying after immigration. Increased awareness and knowledge about healthy foods was reported by more than 50% of the participants. Ordinal regression indicated that Chinese immigrants who lived in Canada the longest, compared to Chinese immigrants who lived in Canada the shortest, consumed significant greater portion sizes (OR: 9.9; 95% CI: 3.11 - 31.15), dined out more frequently (OR: 15.8; 95% CI: 5.0 - 49.85), and consumed convenience foods more often (OR: 3.5; 95% CI: 1.23 - 10.01). Conclusions: Chinese immigrants reported some favourable changes in their dietary intake and greater awareness and more knowledge about healthy foods after immigration. However, an increase in portion size, an increased frequency of dining out and an increased consumption of convenience foods could indicate some unfavourable changes. These results suggest that health promotion strategies should build on the observed benefits of improved nutritional knowledge and target areas of portion size and convenience eating. (PsycINFO Database Record (c) 2016 APA, all rights reserved)</t>
  </si>
  <si>
    <t>http://search.ebscohost.com.proxy-ub.rug.nl/login.aspx?direct=true&amp;db=psyh&amp;AN=2012-31123-001&amp;site=ehost-live&amp;scope=site</t>
  </si>
  <si>
    <t>Determinants of fasting plasma glucose and glycosylated hemoglobin among low income Latinos with poorly controlled type 2 diabetes.</t>
  </si>
  <si>
    <t>Kollannoor-Samuel, Grace; Chhabra, Jyoti; Fernandez, Maria Luz; Vega-López, Sonia; Pérez, Sofia Segura; Damio, Grace; Calle, Mariana C.; D'Agostino, Darrin; Pérez-Escamilla, Rafael</t>
  </si>
  <si>
    <t>2011-18140-002</t>
  </si>
  <si>
    <t>10.1007/s10903-010-9428-3</t>
  </si>
  <si>
    <t>Blood Sugar; Diabetes; Hemoglobin; Lower Income Level; Latinos/Latinas; Acculturation; Blood Plasma; Demographic Characteristics; Lifestyle; Sleep; Socioeconomic Status; Type 2 Diabetes; Adulthood (18 yrs &amp; older); Young Adulthood (18-29 yrs); Thirties (30-39 yrs); Middle Age (40-64 yrs); Male; Female</t>
  </si>
  <si>
    <t>The objective of this study was to identify demographic, socio-economic, acculturation, lifestyle, sleeping pattern, and biomedical determinants of fasting plasma glucose (FPG) and glycosylated hemoglobin (HbA1c), among Latinos with type 2 diabetes (T2D). Latino adults (N = 211) with T2D enrolled in the DIALBEST trial were interviewed in their homes. Fasting blood samples were also collected in the participants’ homes. Because all participants had poor glucose control, above-median values for FPG (173 mg/dl) and HbA1c (9.2%) were considered to be indicative of poorer glycemic control. Multivariate analyses showed that receiving heating assistance (OR: 2.20; 95% CI: 0.96–4.96), and having a radio (3.11, 1.16–8.35), were risk factors for higher FPG levels, and lower income (10.4, 1.54–69.30) was a risk factor for higher HbA1c levels. Lower carbohydrate intake during the previous day (0.04; 0.005–0.37), as well as regular physical activity (0.30; 0.13–0.69), breakfast (2.78; 1.10–6.99) and dinner skipping (3.9; 1.03–14.9) during previous week were significantly associated with FPG concentrations. Being middle aged (2.24, 1.12–4.47), 30–60 min of sleep during the day time (0.07, 0.01–0.74) and having medical insurance (0.31, 0.10–0.96) were predictors of HbA1c. Results suggest that contemporaneous lifestyle behaviors were associated with FPG and contextual biomedical factors such as health care access with HbA1c. Lower socio-economic status indicators were associated with poorer FPG and HbA1c glycemic control. (PsycINFO Database Record (c) 2017 APA, all rights reserved)</t>
  </si>
  <si>
    <t>http://search.ebscohost.com.proxy-ub.rug.nl/login.aspx?direct=true&amp;db=psyh&amp;AN=2011-18140-002&amp;site=ehost-live&amp;scope=site</t>
  </si>
  <si>
    <t>Determinants of health-promoting lifestyle behaviors among Arab immigrants from the region of the Levant.</t>
  </si>
  <si>
    <t>Aqtash, Salah; Van Servellen, Gwen</t>
  </si>
  <si>
    <t>Research in Nursing &amp; Health</t>
  </si>
  <si>
    <t>2013-34736-005</t>
  </si>
  <si>
    <t>Arabs; Health Promotion; Immigration; Lifestyle; Social Support; Interpersonal Relationships; Adulthood (18 yrs &amp; older); Young Adulthood (18-29 yrs); Thirties (30-39 yrs); Middle Age (40-64 yrs); Aged (65 yrs &amp; older); Male; Female</t>
  </si>
  <si>
    <t>Arab immigrants in the United States are at risk for heart disease, stroke, and diabetes. We explored health‐promoting lifestyle behaviors among Arab immigrants to the United States from the Middle Eastern region of the Levant. In 218 male and female Arab adults surveyed with the revised Health‐Promoting Lifestyle Profile (HPLP‐II), the mean for the HPLP‐II was 2.73 (range 1–4), with spiritual growth and interpersonal relations the most frequently reported practices and physical activity the least frequently practiced dimension of health‐promoting behaviors. Multiple linear regression analysis highlighted four determinants of health‐promoting lifestyle behaviors: health insurance, acculturation, self‐efficacy, and social support. Health promotion programs serving Arab immigrants should take these determinants into consideration. (PsycINFO Database Record (c) 2016 APA, all rights reserved)</t>
  </si>
  <si>
    <t>http://search.ebscohost.com.proxy-ub.rug.nl/login.aspx?direct=true&amp;db=psyh&amp;AN=2013-34736-005&amp;site=ehost-live&amp;scope=site</t>
  </si>
  <si>
    <t>Determinants of life satisfaction among immigrants from Western countries and from the FSU in Israel.</t>
  </si>
  <si>
    <t>Amit, Karin</t>
  </si>
  <si>
    <t>2010-06653-008</t>
  </si>
  <si>
    <t>10.1007/s11205-009-9490-1</t>
  </si>
  <si>
    <t>Countries; Economy; Immigration; Life Satisfaction; Adulthood (18 yrs &amp; older); Young Adulthood (18-29 yrs); Thirties (30-39 yrs); Middle Age (40-64 yrs); Male; Female</t>
  </si>
  <si>
    <t>This study examines the integration of immigrants via their satisfaction with life in the new country. While most studies on immigrant integration have focused on objective integration parameters such as education, occupation and salary (e.g., Borjas in Friends or strangers: the impact of immigrants on the US economy. Basic Books, New York, 1990), subjective parameters have traditionally received less attention. However, in recent years it has become increasingly clear that subjective perceptions carry considerable weight in the social-integration process of immigrants (McMichael and Manderson in Human Organ 63(1):88–99, 2004; Massey and Redstone in Soc Sci Q 87(5):954–971, 2006). The study group consists of Jewish immigrants who arrived in Israel during the past two decades from two different regions of origin: Western countries, and the Former Soviet Union (FSU). All of these immigrants are generally highly educated and skilled, but they came to Israel from different societies and contrasting motives. The objective of this study is to learn about the integration of these immigrants via their satisfaction with life in Israel and to understand the factors that explain it, taking into account the differences between the immigrant groups. The findings, based on the 2007 Ruppin representative survey data (The data for this study was obtained with the support of the Israeli Ministry of Immigrant Absorption.), point to significant differences between the two immigrant groups under discussion. Western immigrants are more satisfied with their lives in Israel than FSU immigrants and have higher scores in most of the independent variables tested. The multivariate analyses for predicting an immigrant’s life satisfaction reveal that those reporting the greatest satisfaction are women, religious, with a high standard of living, with no academic education, and stronger Israeli identity (personal and as perceived by others). In addition, different variables play a role in predicting the life satisfaction for each immigrant group. This knowledge may be of service to Israeli policymakers dealing with the immigration and integration of highly skilled immigrants in Israeli society. (PsycINFO Database Record (c) 2016 APA, all rights reserved)</t>
  </si>
  <si>
    <t>http://search.ebscohost.com.proxy-ub.rug.nl/login.aspx?direct=true&amp;db=psyh&amp;AN=2010-06653-008&amp;site=ehost-live&amp;scope=site</t>
  </si>
  <si>
    <t>Determinants of psychological distress among migrants from Ecuador and Romania in a Spanish City.</t>
  </si>
  <si>
    <t>González-Castro, José Luis; Ubillos, Silvia</t>
  </si>
  <si>
    <t>2011-01511-004</t>
  </si>
  <si>
    <t>10.1177/0020764010347336</t>
  </si>
  <si>
    <t>Distress; Human Migration; Mental Disorders; Mental Health; Psychological Stress; Human Sex Differences; Income Level; Social Support; Adolescence (13-17 yrs); Adulthood (18 yrs &amp; older); Young Adulthood (18-29 yrs); Thirties (30-39 yrs); Middle Age (40-64 yrs); Male; Female</t>
  </si>
  <si>
    <t>Background: Migration may have consequences on the mental health of those who enter a new cultural environment. In Spain, migration has increased tenfold in 20 years. It is important to study how these migrants are interacting within this new context and which variables hinder their personal and social development. Aims: To analyze acculturation differences in Spain between first-generation immigrants from two different countries; to analyze the self-reported mental health of these participants; and to evaluate which variables best predict mental health disorders. Method: One hundred and thirty five (135) respondents from Romania and Ecuador responded to a questionnaire analyzing mental health by means of the GHQ-12, coupled with other personal, social and psychosocial acculturation variables. Results: Both cultural groups differed significantly regarding the impact of personal and social variables on their well-being. Nevertheless, mental health distress was not explained by their cultural differences but by gender, gross income and perceived discrimination. Social support offered by those still living at home acted as a buffer. Conclusion: It is important to analyze female migration patterns in order to reduce mental health problems, stress the importance of economic income, and examine how social support offered by those living in one’s home culture is an effective buffer against mental distress. (PsycINFO Database Record (c) 2016 APA, all rights reserved)</t>
  </si>
  <si>
    <t>http://search.ebscohost.com.proxy-ub.rug.nl/login.aspx?direct=true&amp;db=psyh&amp;AN=2011-01511-004&amp;site=ehost-live&amp;scope=site</t>
  </si>
  <si>
    <t>Determinants of usual source of care disparities among African American and Caribbean Black men: Findings from the National Survey of American Life.</t>
  </si>
  <si>
    <t>Hammond, Wizdom Powell; Mohottige, Dinushika; Chantala, Kim; Hastings, Julia F.; Neighbors, Harold W.; Snowden, Lonnie</t>
  </si>
  <si>
    <t>Journal of Health Care for the Poor and Underserved</t>
  </si>
  <si>
    <t>2011-02602-011</t>
  </si>
  <si>
    <t>Johns Hopkins University Press</t>
  </si>
  <si>
    <t>Blacks; Health Insurance; Immigration; Socioeconomic Status; Health Disparities; Human Males; Surveys; Socioeconomic Factors; Adulthood (18 yrs &amp; older); Young Adulthood (18-29 yrs); Thirties (30-39 yrs); Middle Age (40-64 yrs); Male</t>
  </si>
  <si>
    <t>Purpose: The Aday-Andersen model was used as a framework for investigating the contribution of immigration status (i.e., nativity and acculturation), socioeconomic factors, health care access, health status, and health insurance to usual source of health care (USOC) in a nationally representative sample of African American (n = 551) and Caribbean Black men (n = 1,217). Methods: We used the 2001-2003 National Survey of American Life, a nationally representative household survey of non-institutionalized U.S. Blacks to conduct descriptive and logistic regression analyses. Results: Older age, more health conditions, neighborhood medical clinic access, and health insurance were associated with higher odds of reporting a USOC. Odds were lower for men with lower-middle incomes and poorer mental health status. Having health insurance was associated with higher odds of reporting a USOC for African American men but lower odds among Caribbean Black men. Odds were higher in the presence of more health conditions for African American men than for Caribbean Black men. Conclusions: Health care reform policies aimed solely at increasing health insurance may not uniformly eliminate USOC disparities disfavoring U.S. and foreign-born non-Hispanic Black men. (PsycInfo Database Record (c) 2020 APA, all rights reserved)</t>
  </si>
  <si>
    <t>http://search.ebscohost.com.proxy-ub.rug.nl/login.aspx?direct=true&amp;db=psyh&amp;AN=2011-02602-011&amp;site=ehost-live&amp;scope=site</t>
  </si>
  <si>
    <t>Development and preliminary validation of an acculturation scale for China’s rural to urban migrant children.</t>
  </si>
  <si>
    <t>2017-22143-002</t>
  </si>
  <si>
    <t>10.1016/j.ijintrel.2017.02.001</t>
  </si>
  <si>
    <t>Acculturation; Childhood Development; Psychometrics; Test Construction; Well Being; Childhood (birth-12 yrs); School Age (6-12 yrs); Male; Female</t>
  </si>
  <si>
    <t>The large-scale internal migration in China has provided an unparalleled scientific opportunity to study the conceptualization and measurement of adaptation processes among Chinese migrant youth. The present study aims to develop an acculturation instrument for Chinese children participating in the rural to urban migration. The newly developed acculturation scale was tested in a two-wave cross-sectional survey (N = 301 for phase 1 and N = 1773 for phase 2). The results suggested that the acculturation scale possessed adequate content and face validity as evaluated by expert panel and participants. Through exploratory factor analysis, the 20-item scale identified four theoretically supported factors: integration, assimilation, separation, and marginalization. The internal consistency of the four subscales was found to be adequate. The criterion-related validity estimates using the life satisfaction scale and depressive symptoms supported the use and continued development of the acculturation scale. (PsycInfo Database Record (c) 2020 APA, all rights reserved)</t>
  </si>
  <si>
    <t>http://search.ebscohost.com.proxy-ub.rug.nl/login.aspx?direct=true&amp;db=psyh&amp;AN=2017-22143-002&amp;site=ehost-live&amp;scope=site</t>
  </si>
  <si>
    <t>Development and preliminary validation of multidimensional acculturative stress scale for Pakistani immigrants in Toronto, Canada.</t>
  </si>
  <si>
    <t>Jibeen, Tahira; Khalid, Ruhi</t>
  </si>
  <si>
    <t>2010-07233-004</t>
  </si>
  <si>
    <t>10.1016/j.ijintrel.2009.09.006</t>
  </si>
  <si>
    <t>Acculturation; Immigration; Rating Scales; Stress; Test Construction; Psychometrics; Test Validity; Adulthood (18 yrs &amp; older); Young Adulthood (18-29 yrs); Thirties (30-39 yrs); Middle Age (40-64 yrs); Male; Female</t>
  </si>
  <si>
    <t>The multidimensional acculturative stress scale (MASS) was developed to capture the unique stressors in different life domains faced by Pakistani adult immigrants (214) residing in Canada. Exploratory factor analysis of 32-item pool yielded a 24-item measure with five distinct factors including discrimination, threat to ethnic identity, and lack of opportunities for occupational and financial mobility, homesickness and language barrier. The Cronbach’s alpha and internal consistency estimates provided reliability evidence for the total MASS and its five subscales. Further, concurrent validity estimates using the General health Questionnaire-12 (Goldberg &amp; Williams, 1988) and the Psychological Wellbeing Questionnaire (Ryff &amp; Singer, 1996) also supported the use and continued development of the MASS. (PsycINFO Database Record (c) 2018 APA, all rights reserved)</t>
  </si>
  <si>
    <t>http://search.ebscohost.com.proxy-ub.rug.nl/login.aspx?direct=true&amp;db=psyh&amp;AN=2010-07233-004&amp;site=ehost-live&amp;scope=site</t>
  </si>
  <si>
    <t>Development and validation of the Bicultural Youth Acculturation Questionnaire.</t>
  </si>
  <si>
    <t>Kukaswadia, Atif; Janssen, Ian; Pickett, William; Bajwa, Jasmine; Georgiades, Katholiki; Lalonde, Richard N.; Quon, Elizabeth C.; Safdar, Saba; Pike, Ian</t>
  </si>
  <si>
    <t>PLoS ONE</t>
  </si>
  <si>
    <t>2016-42004-001</t>
  </si>
  <si>
    <t>10.1371/journal.pone.0161048</t>
  </si>
  <si>
    <t>Public Library of Science</t>
  </si>
  <si>
    <t>Acculturation; Factor Analysis; Test Construction; Test Validity; Multiculturalism; Blacks; Psychometrics; South Asian Cultural Groups; Southeast Asian Cultural Groups; Adulthood (18 yrs &amp; older); Young Adulthood (18-29 yrs); Male; Female</t>
  </si>
  <si>
    <t>Objectives: Acculturation is a multidimensional process involving changes in behaviour and beliefs. Questionnaires developed to measure acculturation are typically designed for specific ethnic populations and adult experiences. This study developed a questionnaire that measures acculturation among ethnically diverse populations of youth that can be included as a module in population surveys. Methods: Questionnaires measuring acculturation in youth were identified in the literature. The importance of items from the existing questionnaires was determined using a Delphi process and this informed the development of our questionnaire. The questionnaire was then pilot tested using a sample of 248 Canadians aged 18–25 via an online system. Participants identified as East and South East Asian (27.8%), South Asian (17.7%) and Black (13.7%). The majority were 1st (33.5%) or 2nd generation immigrants (52.0%). After redundant items were eliminated, exploratory factor analysis grouped items into domains, and, for each domain, internal consistency, and convergent validity with immigrant generation then age at immigration estimated. A subset of participants re-completed the questionnaire for reliability estimation. Results: The literature review yielded 117 articles that used 13 questionnaires with a total of 440 questions. The Delphi process reduced these to 32 questions. Pilot testing occurred in 248 Canadians aged 18–25. Following item reduction, 16 questions in three domains remained: dominant culture, heritage language, and heritage culture. All had good internal consistency (Cronbach’s alphas &gt; .75). The mean dominant domain score increased with immigrant generation (1st generation: 3.69 (95% CI: 3.49–3.89), 2nd: 4.13 (4.00–4.26), 3rd: 4.40 (4.19– 4.61)), and mean heritage language score was higher among those who immigrated after age 12 than before (p = .0001), indicative of convergent validity. Conclusions: This Bicultural Youth Acculturation Questionnaire has demonstrated validity. It can be incorporated into population health surveys to elucidate the impact of acculturation on health outcomes among bicultural youth. (PsycInfo Database Record (c) 2020 APA, all rights reserved)</t>
  </si>
  <si>
    <t>http://search.ebscohost.com.proxy-ub.rug.nl/login.aspx?direct=true&amp;db=psyh&amp;AN=2016-42004-001&amp;site=ehost-live&amp;scope=site</t>
  </si>
  <si>
    <t>Development of urban adaptation and social identity of migrant children in China: A longitudinal study.</t>
  </si>
  <si>
    <t>Yuan, Xiaojiao; Fang, Xiaoyi; Liu, Yang; Hou, Shumeng; Lin, Xiuyun</t>
  </si>
  <si>
    <t>2012-31521-001</t>
  </si>
  <si>
    <t>10.1016/j.ijintrel.2012.10.002</t>
  </si>
  <si>
    <t>Childhood Development; Human Migration; School Adjustment; Social Identity; Urban Environments; Adaptation; Childhood (birth-12 yrs); Preschool Age (2-5 yrs); School Age (6-12 yrs); Male; Female</t>
  </si>
  <si>
    <t>This study was a longitudinal investigation of the development pattern of urban adaptation, social identity and their dynamic relationship among migrant children within two different types of school settings in China. Six hundred eighty migrant children participated in two assessments over a period of one year. Migrant children in both types of school settings showed better psychological adaptation in the follow-up, but only migrant children in public school improved in sociocultural adaptation. Identification with the culture of origin declined among migrant children in public school and increased among children in migrant children school, while identification with the host culture was inversely affected. The strength of association between urban adaptation and social identity did not differ between the two types of school settings. Identification with the host culture positively predicted subsequent sociocultural and psychological adaptation; however, only sociocultural adaptation positively predicted subsequent identification with the host culture. (PsycINFO Database Record (c) 2016 APA, all rights reserved)</t>
  </si>
  <si>
    <t>http://search.ebscohost.com.proxy-ub.rug.nl/login.aspx?direct=true&amp;db=psyh&amp;AN=2012-31521-001&amp;site=ehost-live&amp;scope=site</t>
  </si>
  <si>
    <t>Developmental outcomes of children in classes for special educational needs: Results from a longitudinal study.</t>
  </si>
  <si>
    <t>Törmänen, Minna R. K.; Roebers, Claudia M.</t>
  </si>
  <si>
    <t>Journal of Research in Special Educational Needs</t>
  </si>
  <si>
    <t>2017-26077-001</t>
  </si>
  <si>
    <t>10.1111/1471-3802.12395</t>
  </si>
  <si>
    <t>Special Education; Special Needs; Cognitive Control; Test Construction; Childhood (birth-12 yrs); School Age (6-12 yrs); Male; Female</t>
  </si>
  <si>
    <t>This longitudinal study investigates the differences in cognitive and socio‐emotional development and academic achievement between children educated in special education classes (N = 37) and regular classes (N = 37). The study is retrospective. The first measurement point was while children were attending play‐oriented kindergarten and no decision about their education had yet been made. The second measurement point followed after 2 years of schooling. Comparing carefully matched groups, no differences in executive functions (EFs) were found before beginning school. Children assigned to special education had poorer language, fine motor skills and a lower pre‐academic self‐concept, self‐regulatory skills and social integration. Notably, every fourth child in special education was an immigrant, 9% of whom later attended regular classes. After 2 years of schooling in either setting, the groups differed significantly in academic achievement, EFs, fine motor skills and cognitive self‐regulatory skills. However, it was not—as school officials had intended—that children in special education classes had caught up, except in regard to their academic self‐concept and social integration. (PsycINFO Database Record (c) 2019 APA, all rights reserved)</t>
  </si>
  <si>
    <t>http://search.ebscohost.com.proxy-ub.rug.nl/login.aspx?direct=true&amp;db=psyh&amp;AN=2017-26077-001&amp;site=ehost-live&amp;scope=site</t>
  </si>
  <si>
    <t>Diabetes risk in older Mexican Americans: Effects of language acculturation, generation and socioeconomic status.</t>
  </si>
  <si>
    <t>Afable-Munsuz, Aimee; Gregorich, Steven E.; Markides, Kyriakos S.; Pérez-Stable, Eliseo J.</t>
  </si>
  <si>
    <t>2013-31279-001</t>
  </si>
  <si>
    <t>10.1007/s10823-013-9200-y</t>
  </si>
  <si>
    <t>Diabetes; Immigration; Mexican Americans; Risk Factors; Socioeconomic Status; Acculturation; Epidemiology; Foreign Language Education; Adulthood (18 yrs &amp; older); Aged (65 yrs &amp; older); Male; Female</t>
  </si>
  <si>
    <t>The effect of language acculturation, socioeconomic status (SES), and immigrant generation on development of diabetes among Mexican Americans was evaluated in the Hispanic Established Population for the Epidemiologic Study of the Elderly (HEPESE). HEPESE is a longitudinal cohort study of 3,050 non-institutionalized Mexican Americans aged 65 years at baseline (1993–1994) from 5 Southwestern states. Diabetes incidence was ascertained in 4 follow-up surveys to 2004–05 by respondent self-reported physician-diagnosis of diabetes, high blood glucose, or sugar in the urine. Language of interview, immigrant generation, gender, age, education, family history of diabetes, smoking status, alcohol use, health insurance type and self-reported height and weight were assessed. High socioeconomic status (SES) was defined by high school graduation and non-Medicaid insurance. Cox’s proportional hazards models were fit to evaluate the effects of language acculturation, generation and SES on incident diabetes. 845 of 3,050 (27.7 %) Mexican Americans had diabetes at baseline and were younger, more educated, and more likely to have health insurance than those without diabetes. Risk of developing diabetes increased for Spanish-speaking respondents with low SES from 1st to 3rd generation (HR = 1.76, 95 % CI = 1.02–3.03) and from 2nd to 3rd generation (HR = 2.15, 95 % CI = 1.20–3.84). Among English-speaking, high SES participants, generation had a protective effect on developing diabetes: HR = 0.45 (95 % CI = 0.22–0.91) when comparing 3rd versus 1st generation. The effect of language acculturation and immigrant generation on incident diabetes is moderated by SES status in HEPESE participants. (PsycINFO Database Record (c) 2016 APA, all rights reserved)</t>
  </si>
  <si>
    <t>http://search.ebscohost.com.proxy-ub.rug.nl/login.aspx?direct=true&amp;db=psyh&amp;AN=2013-31279-001&amp;site=ehost-live&amp;scope=site</t>
  </si>
  <si>
    <t>Diaspora migration in Israel and Germany: Unique contexts or examples of a general phenomenon?</t>
  </si>
  <si>
    <t>Titzmann, Peter F.; Stoessel, Katharina</t>
  </si>
  <si>
    <t>2014-27297-014</t>
  </si>
  <si>
    <t>Acculturation; Immigration; Social Psychology; Sociocultural Factors; Adolescence (13-17 yrs)</t>
  </si>
  <si>
    <t>The aim of this chapter is to move away from the close focus on immigration to Germany and Israel and to take a broader perspective on the acculturation of Diaspora immigrants by comparing empirical results concerning the psychological and socio-cultural adaptation of Diaspora immigrants with those yielded by research on other immigrant groups and in other parts of the world. A comprehensive overview covering different types of immigrant groups, different contexts, and various outcomes is, however, quite a complex task. Researchers around the world use different instruments, different conceptual approaches, and mostly do not replicate results across various immigrant groups. Therefore, in order to compare research results across Diaspora and other types of immigrants, we used a theoretical framework by Colleen Ward (2001) as guideline for describing different approaches to the study of acculturation and adaptation. This framework allows similarities and differences in three crucial aspects of Diaspora immigrants' adaptation to be addressed. In the second section of the chapter we discuss some limitations of current research and suggest ways in which they can be addressed by comparative research focusing on various immigrant groups. We also discuss the necessity to place more emphasis on developmental aspects in immigration research, which is of particular interest for adolescents, because in this age-group normative developmental processes (psychological, social, and biological changes) co-occur with acculturation-related changes. For this reason, we focus primarily on the adolescent years throughout the chapter. (PsycINFO Database Record (c) 2019 APA, all rights reserved)</t>
  </si>
  <si>
    <t>http://search.ebscohost.com.proxy-ub.rug.nl/login.aspx?direct=true&amp;db=psyh&amp;AN=2014-27297-014&amp;site=ehost-live&amp;scope=site</t>
  </si>
  <si>
    <t>Dietary assimilation among Mexican children in immigrant households: Code-switching and healthy eating across social institutions.</t>
  </si>
  <si>
    <t>Dondero, Molly; Van Hook, Jennifer; Frisco, Michelle L.; Martin, Molly A.</t>
  </si>
  <si>
    <t>2018-61713-011</t>
  </si>
  <si>
    <t>10.1177/0022146518809995</t>
  </si>
  <si>
    <t>Diets; Health Behavior; Immigration; Mexican Americans; Childhood (birth-12 yrs); School Age (6-12 yrs); Adolescence (13-17 yrs); Adulthood (18 yrs &amp; older); Male; Female</t>
  </si>
  <si>
    <t>Immigrant health assimilation is often framed as a linear, individualistic process. Yet new assimilation theory and structural theories of health behavior imply variation in health assimilation as immigrants and their families interact with different US social institutions throughout the day. We test this idea by analyzing how two indicators of dietary assimilation—food acculturation and healthy eating—vary throughout the day as Mexican children in immigrant households consume food in different institutional settings. Using individual fixed-effects models and data from the National Health and Nutrition Examination Survey, we find that Mexican children in immigrant households (N = 2,337) engage in 'dietary code-switching,' eating more acculturated but not necessarily less healthy food in schools and more acculturated but less healthy food in restaurants compared to homes. Findings advance theory and knowledge about how social institutions condition dietary assimilation in particular and health assimilation more broadly. (PsycINFO Database Record (c) 2018 APA, all rights reserved)</t>
  </si>
  <si>
    <t>http://search.ebscohost.com.proxy-ub.rug.nl/login.aspx?direct=true&amp;db=psyh&amp;AN=2018-61713-011&amp;site=ehost-live&amp;scope=site</t>
  </si>
  <si>
    <t>Dietary assimilation and health among Hispanic immigrants to the United States.</t>
  </si>
  <si>
    <t>Akresh, Ilana Redstone</t>
  </si>
  <si>
    <t>2007-19191-005</t>
  </si>
  <si>
    <t>10.1177/002214650704800405</t>
  </si>
  <si>
    <t>Acculturation; Diets; Health; Immigration; Latinos/Latinas; Adulthood (18 yrs &amp; older); Male; Female</t>
  </si>
  <si>
    <t>Three important findings emerge from this study using New Immigrant Survey data to examine dietary change and health among Hispanic immigrants. First, individuals who have been in the United States longer report a greater degree of dietary change. Second, after controlling for behavioral characteristics and preexisting diet-related conditions (diagnoses of high blood pressure and diabetes prior to coming to the United States), more dramatic levels of change in diet are associated with higher measures of body mass index. Based on respondents' comparisons of their current health to their health just prior to their most recent trip to the United States, change in diet as a result of immigrating to the United States is positively correlated with both better health and worse health. Among individuals reporting greater levels of dietary change, those with worse health have been in the United States for longer and are more likely to report the use of English at work than those reporting better health, factors that indicate acculturation and exposure to broader U. S. society. (PsycINFO Database Record (c) 2016 APA, all rights reserved)</t>
  </si>
  <si>
    <t>http://search.ebscohost.com.proxy-ub.rug.nl/login.aspx?direct=true&amp;db=psyh&amp;AN=2007-19191-005&amp;site=ehost-live&amp;scope=site</t>
  </si>
  <si>
    <t>Dietary patterns and the association with dietary quality among Mongolian immigrants in South Korea.</t>
  </si>
  <si>
    <t>Park, Haeryun; Tserendejid, Zuunnast; Song, Kyung-Hee; Lee, Jounghee; Lee, Youngmi</t>
  </si>
  <si>
    <t>2015-13114-014</t>
  </si>
  <si>
    <t>10.1007/s10903-014-0047-2</t>
  </si>
  <si>
    <t>Cross Cultural Differences; Diets; Food Intake; Immigration; Adulthood (18 yrs &amp; older); Male; Female</t>
  </si>
  <si>
    <t>Mongolian immigration into South Korea has increased rapidly over the last decade. It is important to better understand dietary patterns of immigrants because these patterns are associated with health risk. This study aimed to characterize dietary patterns of Mongolian immigrants in South Korea. Dietary intakes of 500 Mongolian adults living in South Korea were assessed using the interviewer-administered 24-h dietary recall method. By cluster analysis, three dietary patterns were identified: 'Mongolian' (26 %), 'Transitional' (43 %) and 'Korean' (31 %). The 'Korean' pattern had a favorable food intake profile, with higher intakes of healthy foods, while the other patterns had features of an unhealthy diet. There were significant differences between the dietary patterns that were related to risk for chronic diseases. Overall, subjects following the 'Korean' dietary pattern showed high adherence to World Health Organization recommendations for preventing diet-related chronic diseases, whereas the 'Mongolian' and 'Transitional' patterns showed low compliance. The results suggest the need for education programs targeting Mongolian immigrants who retain traditional dietary habits, to enhance their healthy food choices. (PsycINFO Database Record (c) 2018 APA, all rights reserved)</t>
  </si>
  <si>
    <t>http://search.ebscohost.com.proxy-ub.rug.nl/login.aspx?direct=true&amp;db=psyh&amp;AN=2015-13114-014&amp;site=ehost-live&amp;scope=site</t>
  </si>
  <si>
    <t>Differences in alcohol consumption and drinking patterns in Ghanaians in Europe and Africa: The RODAM Study.</t>
  </si>
  <si>
    <t>Addo, Juliet; Cook, Sarah; Galbete, Cecilia; Agyemang, Charles; Klipstein-Grobusch, Kerstin; Nicolaou, Mary; Danquah, Ina; Schulze, Matthias B.; Brathwaite, Rachel; Mockenhaupt, Frank P.; Beune, Erik; Meeks, Karlijn; de-Graft Aikins, Ama; Bahendaka, Silver; Owusu-Dabo, Ellis; Smeeth, Liam</t>
  </si>
  <si>
    <t>2018-56418-001</t>
  </si>
  <si>
    <t>10.1371/journal.pone.0206286</t>
  </si>
  <si>
    <t>Alcohol Drinking Patterns; Alcoholism; Risk Factors; Immigration; Prevention; Adulthood (18 yrs &amp; older); Young Adulthood (18-29 yrs); Thirties (30-39 yrs); Middle Age (40-64 yrs); Aged (65 yrs &amp; older); Male; Female</t>
  </si>
  <si>
    <t>Background: Little is known about alcohol consumption among Africans living in rural and urban Africa compared to African migrants in Europe. We compared the patterns of alcohol consumption in a group of Ghanaians living in different locations in Ghana and in Europe and examined the factors associated with drinking alcohol. Methods: Data were from a cross-sectional study (RODAM) of Ghanaians aged 25–70 years living in rural and urban Ghana and in Amsterdam, Berlin and London. Information on how often participants consumed at least one standard alcoholic drink in the preceding 12 months, the type of alcoholic beverage and the average serving size was obtained using a food propensity questionnaire. The associations between drinking alcohol and socio-demographic variables, and frequency of attending religious services were investigated using logistic regression models stratified by site and sex. For Ghanaians living in Europe, the number of years since migration and acculturation were also included in the model as covariates. Results: 4280 participants (62.2% women) were included in the analyses. In both men and women, the prevalence of drinking and amount of alcohol consumed per day was highest in Berlin (prevalence of drinking 71.0% and 61.7%) and lowest in urban Ghana (41.4% and 26.8%). After adjustment for age and education in both men and women in Europe, those attending religious services less frequently reported higher levels of drinking alcohol than non-attendants (never attend/no religion compared to attending service at least once a week men OR 4.60 95% CI 2.85, 7.44; women OR 1.80 95% CI 1.12, 2.90) p-trend with frequency &lt; 0.001 in men; 0.002 in women); this association was seen also in men in rural Ghana (p-trend = 0.001) and women in urban Ghana (p-trend = 0.02). The prevalence of drinking was positively associated with years since migration in both men and women in Europe ((OR per years increase in time lived in Europe 1.25 (95% CI 1.02,1.53) test for trend p = 0.03 in women; OR 1.29 (95% CI 1.03, 1.62 p = 0.03 in men) but no association was found with self-reported measures of acculturation (ethnic identity, cultural orientation or social networks). Conclusion: There are marked differences in alcohol consumption between Ghanaians living in Europe and in Ghana suggesting migration has an important influence of drinking patterns and also suggesting the possibility of requiring different strategies in alcohol reduction campaigns among Ghanaians in different locations. (PsycInfo Database Record (c) 2020 APA, all rights reserved)</t>
  </si>
  <si>
    <t>http://search.ebscohost.com.proxy-ub.rug.nl/login.aspx?direct=true&amp;db=psyh&amp;AN=2018-56418-001&amp;site=ehost-live&amp;scope=site</t>
  </si>
  <si>
    <t>Differences in attitudes towards women among three groups of Filipinos: Filipinos in the Philippines, Filipino American immigrants, and U.S. born Filipino Americans.</t>
  </si>
  <si>
    <t>Enrile, Annalisa; Agbayani, Pauline T.</t>
  </si>
  <si>
    <t>2007-14058-001</t>
  </si>
  <si>
    <t>10.1300/J051v16n01_01</t>
  </si>
  <si>
    <t>Acculturation; Attitudes; Cross Cultural Differences; Human Females; Immigration; Asians; Adulthood (18 yrs &amp; older); Male; Female</t>
  </si>
  <si>
    <t>This study examined the relationship between acculturation and attitudes towards women. The study focuses on 390 native Filipino, immigrant Filipino, and U.S. born Filipino American undergraduate students. Early research on acculturation has assumed that as people become acculturated to their host cultures, their own culture of origin weakens. Whether a group's cultural values and attitudes change may be tied to acculturation. For example, research has found that gender role expectations are associated with changes in core cultural values. Thus, this study utilizes the Attitudes Towards Women's scale to measure changes in cultural values. Changes in values due to acculturation may affect family dynamics, including family conflict, within this population. This study revealed that Filipinos do not follow the typical acculturation framework wherein the longer a group is in the host country the more acculturated they become. This study found that although native Filipinos did have the most conservative attitudes towards women, that immigrant Filipinos had the most egalitarian, even more so than U.S. born Filipino Americans who were expected to have the highest scores, because of their higher level of acculturation. The findings suggest that acculturation may not exhibit a clear linear progression as presented in past literature. (PsycINFO Database Record (c) 2016 APA, all rights reserved)</t>
  </si>
  <si>
    <t>http://search.ebscohost.com.proxy-ub.rug.nl/login.aspx?direct=true&amp;db=psyh&amp;AN=2007-14058-001&amp;site=ehost-live&amp;scope=site</t>
  </si>
  <si>
    <t>Differences in contraceptive use across generations of migration among women of Mexican origin.</t>
  </si>
  <si>
    <t>2009-11420-008</t>
  </si>
  <si>
    <t>10.1007/s10995-008-0382-9</t>
  </si>
  <si>
    <t>Acculturation; Birth Control; Human Females; Human Migration; Generational Differences; Childhood (birth-12 yrs); School Age (6-12 yrs); Adolescence (13-17 yrs); Adulthood (18 yrs &amp; older); Young Adulthood (18-29 yrs); Thirties (30-39 yrs); Middle Age (40-64 yrs); Female</t>
  </si>
  <si>
    <t>Objectives: To explore differences in contraceptive use among women of Mexican origin across generations of migration. Methods: Logit models were used to assess contraceptive use among 1,830 women of Mexican origin in Cycles 5 (1995) and 6 (2002) of the National Survey of Family Growth (NSFG). Analyses were stratified by age. Initial models controlled for survey year and underlying differences across generations of migration in age and parity; subsequent models added a range of potential mediating variables. Models account for significant interactions between generation of migration and parity. Results: Among women under age 30 who have not yet had any children, women in their twenties with parity 3 or more, and women 30 or older with parity 1 or 2, those born in the US are much more likely to use contraception than immigrant women. For other levels of parity, there are no significant differences in contraceptive use across generations of migration. Generational differences in marital status, socio-economic status, health insurance coverage, and catholic religiosity did little to mediate the association between generation of migration and contraceptive use. Conclusions: Among women of Mexican origin, patterns of contraceptive use among first-generation immigrants and women of generation 1.5 are similar to those of women in Mexico, with very low rates of contraceptive use among young women who have not yet had a child. Further research is needed to investigate the extent to which this pattern is due to fertility preferences, contraceptive access, or concerns about side effects and infertility. Patterns of contraceptive use appear to change more slowly with acculturation than many other factors, such as education, income, and work force participation. (PsycINFO Database Record (c) 2016 APA, all rights reserved)</t>
  </si>
  <si>
    <t>http://search.ebscohost.com.proxy-ub.rug.nl/login.aspx?direct=true&amp;db=psyh&amp;AN=2009-11420-008&amp;site=ehost-live&amp;scope=site</t>
  </si>
  <si>
    <t>Differences in self-rated health by immigrant status and language preference among Arab Americans in the Detroit Metropolitan Area.</t>
  </si>
  <si>
    <t>Abdulrahim, Sawsan; Baker, Wayne</t>
  </si>
  <si>
    <t>2009-09282-001</t>
  </si>
  <si>
    <t>10.1016/j.socscimed.2009.04.017</t>
  </si>
  <si>
    <t>Acculturation; Arabs; Health; Immigration; Language; Preferences; Self-Evaluation; Adulthood (18 yrs &amp; older); Young Adulthood (18-29 yrs); Thirties (30-39 yrs); Middle Age (40-64 yrs); Male; Female</t>
  </si>
  <si>
    <t>Arab Americans are a growing minority in the U.S., yet only a few studies have examined their health utilizing representative samples. Using data from the 2003 Detroit Arab American Study, which is based on a probability sample, we examined the self-rated health (SRH) of Arab Americans by two measures of acculturation—immigrant status and language preference. We specified logistic regression models to test whether immigrants report better or poorer health status compared to U.S.-born Arab Americans and whether language preference among the immigrant generation accounts for the association between immigrant status and SRH. Our findings reveal that the health status of Arab Americans improves with acculturation. Arab immigrants are more likely to report poorer SRH compared to U.S.-born Arab Americans. When language preference is taken into account, Arabic-speaking immigrants are more likely to report poorer SRH compared to both U.S.-born Arab Americans and to English-speaking immigrants. We discuss these findings in light of similar ones obtained in the literature on SRH among other immigrant groups in the U.S. We conclude by arguing that language is an important measure to include in SRH studies among Arab Americans as well as other non-English speaking ethnic groups. (PsycINFO Database Record (c) 2016 APA, all rights reserved)</t>
  </si>
  <si>
    <t>http://search.ebscohost.com.proxy-ub.rug.nl/login.aspx?direct=true&amp;db=psyh&amp;AN=2009-09282-001&amp;site=ehost-live&amp;scope=site</t>
  </si>
  <si>
    <t>Differentiating genuine versus feigned posttraumatic stress disorder in a sample of torture survivors.</t>
  </si>
  <si>
    <t>Weiss, Rebecca</t>
  </si>
  <si>
    <t>2014-99161-102</t>
  </si>
  <si>
    <t>Diversity; Survivors; Victimization; Ethnic Diversity; Posttraumatic Stress Disorder; Torture</t>
  </si>
  <si>
    <t>As the ethnic diversity continues to increase in the United States, the importance of establishing accurate normative data for diverse groups is increasingly relevant. However, forensic measures are rarely based on normative samples that represent the considerable diversity present in forensic settings. The paucity of this research is particularly evident for psychologists asked to assess asylum seekers, where issues relating to diversity are central. The present study represents one of the first efforts to investigate the validity of measures of feigning, that have potential utility in asylum evaluations, in a non-Western sample. The study evaluated four measures that are commonly used to detect feigned psychiatric symptoms and insufficient cognitive effort, including the Dot Counting Test (DCT), the Test of Memory Malingering (TOMM), the Miller Forensic Assessment of Symptoms Test (M-FAST) and the Atypical Response (ATR) scale on the Traumatic Symptoms Inventory, Second Edition. The study compared performance on these measures among three groups of West and Central African immigrants: honest participants with PTSD, honest participants without PTSD, and participants without PTSD asked to feign symptoms of distress. The data were used to evaluate the ability of these individuals to feign PTSD, to assess the classification accuracy of each measure, and to assess the effect of demographic variables and acculturation on these measures. When possible, the data were also used to derive alternative cutoffs scores that resulted in higher levels of classification accuracy than those previously established. Notably, individuals demonstrated difficulty feigning symptoms of distress. Using both published and optimized cutoff scores, no measure demonstrated high rates of both sensitivity and specificity, although the TOMM, M-FAST and ATR scale displayed valuable, but limited utility. The combined use of TOMM and M-FAST provided the highest rates of classification accuracy. No measures were affected by acculturation, as measured in the study, although the DCT was significantly correlated to years of education. The results emphasize the need for future research in this area. (PsycInfo Database Record (c) 2020 APA, all rights reserved)</t>
  </si>
  <si>
    <t>http://search.ebscohost.com.proxy-ub.rug.nl/login.aspx?direct=true&amp;db=psyh&amp;AN=2014-99161-102&amp;site=ehost-live&amp;scope=site</t>
  </si>
  <si>
    <t>Discrimination and acculturation among Arab Muslim immigrants in the U.S.</t>
  </si>
  <si>
    <t>Willems, Elizabeth A.</t>
  </si>
  <si>
    <t>2013-99120-509</t>
  </si>
  <si>
    <t>Acculturation; Arabs; Ethnic Identity; Immigration; Muslims</t>
  </si>
  <si>
    <t>The mixed method study largely followed on the work of Mona Amer (2005). It is a cross-sectional view of 100 non-U.S. born Arab Muslims living in the U.S. Using a non-random convenience sample of individuals from multiple U.S. cities, the study examined the hypotheses that H1: level of perceived discrimination will correlate with level of acculturation in the sample H2: degree of religiosity, degree of ethnic identity, and level of family functioning will mediate the relationship between perceived discrimination and level of acculturation in the sample, H3: controlling for extraneous variables (time spent in Arab world and gender) will account for the relationship between perceived discrimination and level of acculturation. This information was obtained by a socio-demographic questionnaire, the Schedule of Racist Events Modified for Use with Arab American Persons (SRE-AA), the Perceived Religious Discrimination Scale (PRDS), the Vancouver Index of Acculturation- Modified Arab Version (VIA-A), the Multigroup Ethnic Identity Measure - Revised (MEIM-R), the Family Assessment Device General Functioning subscale (FAD-GF), and the Index of Religiosity (IR). Participants responded to three narrative items. Two VIA-A subscales measured level of acculturation and six variables were both taken together and used separately to measure perceived discrimination (PRDS subscales-Religious; SRE-AA subscales-Racial). Quantitative analysis found a positive association was demonstrated between VIA-A North American subscale scores and the combined subscales measuring perceived discrimination (SRE-AA, PRDS). Also perceived discrimination as measured by the SRE-AA In the Past Year subscale correlated with acculturation as measured by the VIA-A-North American subscale. A negative correlation was also found between VIA-A Cultural Heritage subscale and SRE-AA In U.S. However, none of the variables in H2 mediated these relationships. Gender and number of years spent in the Arab world ultimately did not significantly contribute to the model. Qualitative analysis found several themes associated with discrimination and acculturation in the U.S. For example family integrity is an important factor in the lives of the participants, as is safety, freedom, and seeking out greater opportunities. Participants maintain lives in the U.S. and continue to adapt in their host culture despite perceived discrimination. (PsycINFO Database Record (c) 2016 APA, all rights reserved)</t>
  </si>
  <si>
    <t>http://search.ebscohost.com.proxy-ub.rug.nl/login.aspx?direct=true&amp;db=psyh&amp;AN=2013-99120-509&amp;site=ehost-live&amp;scope=site</t>
  </si>
  <si>
    <t>Discrimination and mental health among Somali refugee adolescents: The role of acculturation and gender.</t>
  </si>
  <si>
    <t>Ellis, B. Heidi; MacDonald, Helen Z.; Klunk‐Gillis, Julie; Lincoln, Alisa; Strunin, Lee; Cabral, Howard J.</t>
  </si>
  <si>
    <t>2011-25070-015</t>
  </si>
  <si>
    <t>10.1111/j.1939-0025.2010.01061.x</t>
  </si>
  <si>
    <t>Adolescent Development; African Cultural Groups; Discrimination; Mental Health; Refugees; Acculturation; Human Sex Differences; Social Identity; Childhood (birth-12 yrs); School Age (6-12 yrs); Adolescence (13-17 yrs); Male; Female</t>
  </si>
  <si>
    <t>This study examines the role of social identity (acculturation and gender) in moderating the association between discrimination and Somali adolescent refugees’ mental health. Participants were English‐speaking Somali adolescent refugees between the ages of 11 and 20 (N = 135). Perceived discrimination, trauma history, posttraumatic stress disorder (PTSD), depressive symptoms, and behavioral acculturation were assessed in structured interviews. Fourteen in‐depth qualitative interviews and 3 focus groups were also conducted. Results indicated that discrimination was common and associated with worse mental health. For girls, greater Somali acculturation was associated with better mental health. Also, the association between discrimination and PTSD was less strong for girls who showed higher levels of Somali acculturation. For boys, greater American acculturation was associated with better mental health, and the association between discrimination and depression was less strong for boys with higher levels of American acculturation. (PsycINFO Database Record (c) 2016 APA, all rights reserved)</t>
  </si>
  <si>
    <t>http://search.ebscohost.com.proxy-ub.rug.nl/login.aspx?direct=true&amp;db=psyh&amp;AN=2011-25070-015&amp;site=ehost-live&amp;scope=site</t>
  </si>
  <si>
    <t>Discrimination and psychiatric disorder among Asian American immigrants: A national analysis by subgroups.</t>
  </si>
  <si>
    <t>Li, Miao</t>
  </si>
  <si>
    <t>2014-46296-016</t>
  </si>
  <si>
    <t>10.1007/s10903-013-9920-7</t>
  </si>
  <si>
    <t>Asians; Immigration; Mental Disorders; Mental Health; Race and Ethnic Discrimination; Racism; Adulthood (18 yrs &amp; older); Male; Female</t>
  </si>
  <si>
    <t>Although considerable evidence suggests that discrimination negatively affects mental health for Asian American (AA) immigrants, few studies have disaggregated this heterogeneous community and/or differentiated effects of different forms of discrimination. Using the first nationally representative data on AA immigrants in US, this study examines whether perceived racial discrimination, perceived language discrimination, and vicarious racism experiences increase the risk of psychiatric disorder for different Asian immigrant groups in the past 12 months. Results from group specific logistic regressions show that both perceived racial and language discrimination have strong deleterious effects on mental health only for Filipinos, while Vietnamese and Chinese are more likely to be affected by vicarious racism experiences. No significant association was found between racial discrimination and the mental health outcome for Vietnamese and Chinese. Findings were discussed in the light of inter-racial contact pattern and acculturation status for each group. (PsycINFO Database Record (c) 2016 APA, all rights reserved)</t>
  </si>
  <si>
    <t>http://search.ebscohost.com.proxy-ub.rug.nl/login.aspx?direct=true&amp;db=psyh&amp;AN=2014-46296-016&amp;site=ehost-live&amp;scope=site</t>
  </si>
  <si>
    <t>Discrimination and substance use disorders among Latinos: The role of gender, nativity, and ethnicity.</t>
  </si>
  <si>
    <t>Verissimo, Angie Denisse Otiniano; Grella, Christine E.; Amaro, Hortensia; Gee, Gilbert C.</t>
  </si>
  <si>
    <t>2014-29353-015</t>
  </si>
  <si>
    <t>10.2105/AJPH.2014.302011</t>
  </si>
  <si>
    <t>Drug Abuse; Race and Ethnic Discrimination; Ethnic Identity; Human Sex Differences; Latinos/Latinas; Substance Use Disorder; Adulthood (18 yrs &amp; older); Young Adulthood (18-29 yrs); Thirties (30-39 yrs); Middle Age (40-64 yrs); Aged (65 yrs &amp; older); Very Old (85 yrs &amp; older); Male; Female</t>
  </si>
  <si>
    <t>Objectives: We examined the relationship between discrimination and substance use disorders among a diverse sample of Latinos. We also investigated whether the relationship between discrimination and substance use disorders varied by gender, nativity, and ethnicity. Methods: Our analyses focused on 6294 Latinos who participated in the National Epidemiologic Survey on Alcohol and Related Conditions from 2004 to 2005. We used multinomial logistic regression to examine the association between discrimination and substance use disorders. Results: Discrimination was significantly associated with increased odds of alcohol and drug use disorders among Latinos. However, the relationship between discrimination and substance use disorders varied by gender, nativity, and ethnicity. Discrimination was associated with increased odds of alcohol and drug use disorders for certain groups, such as women, US-born Latinos, and Mexicans, but this relationship did not follow the same pattern for other subgroups. Conclusions: It is important to determine which subgroups among Latinos may be particularly vulnerable to the negative effects of discrimination to address their needs. (PsycINFO Database Record (c) 2016 APA, all rights reserved)</t>
  </si>
  <si>
    <t>http://search.ebscohost.com.proxy-ub.rug.nl/login.aspx?direct=true&amp;db=psyh&amp;AN=2014-29353-015&amp;site=ehost-live&amp;scope=site</t>
  </si>
  <si>
    <t>Discrimination, stress, and acculturation among Dominican immigrant women.</t>
  </si>
  <si>
    <t>Araújo Dawson, Beverly</t>
  </si>
  <si>
    <t>2009-00798-005</t>
  </si>
  <si>
    <t>10.1177/0739986308327502</t>
  </si>
  <si>
    <t>Acculturation; Race and Ethnic Discrimination; Racism; Stress; Latinos/Latinas; Immigration; Prejudice; Adulthood (18 yrs &amp; older); Thirties (30-39 yrs); Middle Age (40-64 yrs); Female</t>
  </si>
  <si>
    <t>Researchers have well established the association between discriminatory experiences, life chances, and mental health outcomes among Latino/as, especially among Mexican Americans. However, few studies have focused on the impact of stress or the moderating effects of low acculturation levels among recent immigrants, such as Dominicans. Using the transactional stress model, the present community-based study examines the relationship between discrimination and stress, and whether this association varies by low acculturation levels in a sample of 246 Dominican women. Results indicate a positive relationship between major racist events (e.g., job-related discrimination), everyday discrimination (e.g., not receiving services in a store), and stress levels. Furthermore, low acculturation moderated the impact that discriminatory experiences had on the stress level of Dominican women. Implications for further research on discrimination and stress among Dominican immigrants are discussed. (PsycINFO Database Record (c) 2016 APA, all rights reserved)</t>
  </si>
  <si>
    <t>http://search.ebscohost.com.proxy-ub.rug.nl/login.aspx?direct=true&amp;db=psyh&amp;AN=2009-00798-005&amp;site=ehost-live&amp;scope=site</t>
  </si>
  <si>
    <t>Discrimination-related stress, blood pressure and Epstein-Barr virus antibodies among Latin American immigrants in Oregon, US.</t>
  </si>
  <si>
    <t>McClure, Heather H.; Martinez, Charles R. Jr.; Snodgrass, J. Josh; Eddy, J. Mark; Jiménez, Roberto A.; Isiordia, Laura E.; McDade, Thomas W.</t>
  </si>
  <si>
    <t>Journal of Biosocial Science</t>
  </si>
  <si>
    <t>2010-13349-001</t>
  </si>
  <si>
    <t>10.1017/S0021932010000039</t>
  </si>
  <si>
    <t>Blood Pressure; Epstein Barr Viral Disorder; Immigration; Stress; Latinos/Latinas; Acculturation; Antibodies; Social Discrimination; Social Support; Adulthood (18 yrs &amp; older); Young Adulthood (18-29 yrs); Thirties (30-39 yrs); Middle Age (40-64 yrs); Aged (65 yrs &amp; older); Male; Female</t>
  </si>
  <si>
    <t>Perceived discrimination has been linked to poor health outcomes among ethnic and racial minorities in the United States, though the relationship of discrimination-related stress to immigrant health is not well understood. This article reports findings from a preliminary study that examined blood pressure and Epstein-Barr virus antibody levels in relation to self-reported indicators of stress, acculturation and social support among 79 adult immigrant Latino farm workers in Oregon, US. Findings show that increases in discrimination-related stress predicted elevated systolic blood pressure (SBP) and Epstein-Barr virus antibody levels among male participants. Though female participants reported similar levels of discrimination stress, this perceived stress was not reflected in biological measures. Among women, greater English language engagement was linked to higher SBP, and more years in the US was associated with higher diastolic blood pressure. Study results suggest that male and female immigrants' physiological responses to stress may be influenced in distinctive ways by processes of adjustment to life in the US. If replicated, the finding that discrimination stress predicts elevated SBP may have clinical and public health implications given that elevated SBP is an established risk factor for cardiovascular disease. (PsycINFO Database Record (c) 2016 APA, all rights reserved)</t>
  </si>
  <si>
    <t>http://search.ebscohost.com.proxy-ub.rug.nl/login.aspx?direct=true&amp;db=psyh&amp;AN=2010-13349-001&amp;site=ehost-live&amp;scope=site</t>
  </si>
  <si>
    <t>Disentangling the effects of migration, selection and acculturation on weight and body fat distribution: Results from a natural experiment involving Vietnamese Americans, returnees, and never-leavers.</t>
  </si>
  <si>
    <t>Fu, Hongyun; VanLandingham, Mark J.</t>
  </si>
  <si>
    <t>2012-25197-008</t>
  </si>
  <si>
    <t>10.1007/s10903-012-9595-5</t>
  </si>
  <si>
    <t>Acculturation; Body Weight; Immigration; Body Fat; Risk Factors; Adulthood (18 yrs &amp; older); Young Adulthood (18-29 yrs); Thirties (30-39 yrs); Middle Age (40-64 yrs); Male; Female</t>
  </si>
  <si>
    <t>We distinguish between selection and true migration effects on weight and body fat for Vietnamese immigrants; and examine the role of acculturation on these outcomes. Data (n = 703) were collected among three population-based samples of working-age Vietnamese immigrants, repatriated emigrants and never-migrated Vietnamese nationals. This allows for a decomposition exercise to separate the effects of migration effects from selection effects on body mass index (BMI) and waist-hip ratio (WHR). Immigrants are more likely to be overweight and to have high WHR, relative to both never-leavers and returnees, a pattern reflecting the importance of migration over selection. Among immigrants, coming to the US at a younger age is associated with higher BMI and WHR levels. And longer length of residence in the US is related to higher BMI. While higher Vietnamese language proficiency is related to a lower BMI level, being bilingual (proficient in both English and Vietnamese) is associated with lower risks for being overweight. The distinct pattern of results suggests that more problematic weight status and fat distribution among Vietnamese immigrants relative to Vietnamese nationals are not artifacts of the types of persons choosing to emigrate, but rather are due to acculturation to American diet and lifestyles. While efforts to promote and maintain traditional patterns of diet and lifestyle are likely to help Vietnamese and other immigrants avoid the perils of American patterns, facilitating a bi-cultural orientation is perhaps the most realistic approach for preserving protective features of the culture of origin with regard to body weight and fat distribution. (PsycINFO Database Record (c) 2016 APA, all rights reserved)</t>
  </si>
  <si>
    <t>http://search.ebscohost.com.proxy-ub.rug.nl/login.aspx?direct=true&amp;db=psyh&amp;AN=2012-25197-008&amp;site=ehost-live&amp;scope=site</t>
  </si>
  <si>
    <t>Divergent pathways to assimilation? Local marriage markets and intermarriage among u.S. Hispanics.</t>
  </si>
  <si>
    <t>Qian, Zhenchao; Lichter, Daniel T.; Tumin, Dmitry</t>
  </si>
  <si>
    <t>Journal of Marriage and Family</t>
  </si>
  <si>
    <t>2017-30163-001</t>
  </si>
  <si>
    <t>10.1111/jomf.12423</t>
  </si>
  <si>
    <t>Acculturation; Exogamous Marriage; Immigration; Latinos/Latinas; Human Mate Selection; Adulthood (18 yrs &amp; older); Male; Female</t>
  </si>
  <si>
    <t>The growing diversity of the U.S. population raises questions about integration among America's fastest growing minority population—Hispanics. The canonical view is that intermarriage with the native‐born White population represents a pathway to assimilation that varies over geographic space in response to uneven marital opportunities. Using data on past‐year marriage from the 2009–2014 American Community Survey, the authors demonstrate high rates of intermarriage among Hispanics. The analyses identify whether Hispanics marry coethnics, non‐co‐ethnic Hispanics, non‐Hispanic Whites, non‐Hispanic Blacks, or other minorities. The authors highlight variation by race, nativity, and socioeconomic status and reveal that Hispanics living in new immigrant destinations are more likely to intermarry than those living in traditional Hispanic gateways. Indeed, the higher out‐marriage in new destinations disappears when the demographic context of reception is taken into account. The analysis underscores that patterns of marital assimilation among Hispanics are neither monolithic nor expressed uniformly across geographic space. (PsycINFO Database Record (c) 2019 APA, all rights reserved)</t>
  </si>
  <si>
    <t>http://search.ebscohost.com.proxy-ub.rug.nl/login.aspx?direct=true&amp;db=psyh&amp;AN=2017-30163-001&amp;site=ehost-live&amp;scope=site</t>
  </si>
  <si>
    <t>Divided loyalties: Perceptions of disloyalty underpin bias toward dually-identified minority-group members.</t>
  </si>
  <si>
    <t>Kunst, Jonas R.; Thomsen, Lotte; Dovidio, John F.</t>
  </si>
  <si>
    <t>2018-54889-001</t>
  </si>
  <si>
    <t>10.1037/pspi0000168</t>
  </si>
  <si>
    <t>Acculturation; Immigration; Loyalty; Minority Groups; Racial and Ethnic Attitudes; Attitudes; Ingroup Outgroup; Social Integration; Test Construction; Majority Groups; Adulthood (18 yrs &amp; older); Young Adulthood (18-29 yrs); Thirties (30-39 yrs); Middle Age (40-64 yrs); Aged (65 yrs &amp; older); Male; Female</t>
  </si>
  <si>
    <t>Majority-group members often hold negative attitudes toward minority-group members who identify with both the majority and their minority group. Integrating perspectives from social identity theory and acculturation research with a coalitional psychology framework, we show that an underlying mechanism for such bias is the perception that dual identifiers are disloyal to the majority group. In Study 1, majority-group participants in the U.S. questioned the loyalty of a dually identified Arab immigrant more than one who identified solely with the (American) majority group, especially under intergroup threat, which in turn predicted less favorable feelings toward the immigrant. Study 2 conceptually replicated the effect of the identity manipulation and the mediating influence of perceived loyalty on judgments about an immigrant being allowed to enlist in the U.S. military. Study 3, partially replicated the findings in Poland, focusing on Russian immigrants as targets. In Study 4, which independently manipulated both the identity expressed by immigrants and their loyalty, a dually identified immigrant whose loyalty to the majority group was portrayed as high was not judged as less qualified than an immigrant who identified only with the majority group for jobs with the potential to inflict damage on the majority group. Study 5, replicated and extended the previous studies in the context of fans of allied or rival soccer teams in Germany, revealing the moderating role of existing group relations on the hypothesized loyalty processes. In summary, coalitionally driven perceptions of (dis)loyalty appear to undergird bias toward minority-group members who hold dual identifications. (PsycInfo Database Record (c) 2020 APA, all rights reserved)</t>
  </si>
  <si>
    <t>http://search.ebscohost.com.proxy-ub.rug.nl/login.aspx?direct=true&amp;db=psyh&amp;AN=2018-54889-001&amp;site=ehost-live&amp;scope=site</t>
  </si>
  <si>
    <t>Do ataque de nervios and padecer de nervios function as culture-bound syndromes and markers of distress among Mexican immigrant mothers? A mixed-method analysis.</t>
  </si>
  <si>
    <t>Alcantara, Carmela</t>
  </si>
  <si>
    <t>2011-99100-132</t>
  </si>
  <si>
    <t>Distress; Immigration; Syndromes; Mothers; Adulthood (18 yrs &amp; older); Female</t>
  </si>
  <si>
    <t>Ataque de nervios (ATQ) and padecer de nervios (PNRV) are considered culture-bound syndromes with overlapping symptoms of anxiety, depression, and dissociation that are popularly endorsed among Latina/os from Latin America and the Caribbean. ATQs are acute experiences involving both typical and atypical panic symptoms, whereas PNRV appears to be a diffuse descriptor of nonspecific distress. These affective illnesses have inconsistent associations with mood and anxiety disorders, and vary in function and phenomenology by Latina/o ethnic group. Some researchers suggest that level of acculturation may be the most significant indicator of a tendency to present with ATQ/PNRV, but few empirical studies test this hypothesis. Through the use of mixed methods (i.e., integration of quantitative and qualitative methods), this two-study dissertation explores the extent to which ATQ and PNRV are culture-bound syndromes with identifiable signs and symptoms that are reliably associated with psychopathology and distress among a community sample of Mexican immigrant mothers. Study 1 examined the relationships between acculturative stress, U.S. American/Latino acculturation, anxious predispositions, psychological distress, and lifetime history of ATQ/PNRV. Study 2 explored the meanings of ATQ and PNRV among a sub-sample of respondents with positive histories of ATQ/NRV. In Study 1, survey batteries were administered to the full sample ( N = 82). In Study 2, a semi-structured psychiatric interview and a qualitative interview about general beliefs of ATQ/NRV were administered to the sub-sample (n = 22). Hierarchical logistic and linear regression analyses and thematic content analysis were used. Results from Study 1 indicate that lifetime ATQ and PNRV were related experiences that were not consistently predictive of distress, with the exception of PNRV which was associated with psychological distress. Acculturation was not observed to be a statistically significant predictor of ATQ/PNRV. Results from Study 2 suggest that ATQ and PNRV are not statistically associated with psychiatric disorder. There was also no clear and consistent majority consensus on the signs, symptoms, and causes of ATQ and PNRV. Thus, ATQ and PNRV are better conceptualized as interrelated idioms of distress rather than patterned and culturally-bounded experiences of psychopathology. Implications for the study of culture-bound syndromes and psychiatric nosology are discussed. (PsycINFO Database Record (c) 2016 APA, all rights reserved)</t>
  </si>
  <si>
    <t>http://search.ebscohost.com.proxy-ub.rug.nl/login.aspx?direct=true&amp;db=psyh&amp;AN=2011-99100-132&amp;site=ehost-live&amp;scope=site</t>
  </si>
  <si>
    <t>Do cultural and generational cohorts matter to ideologies and consumer ethics? A comparative study of Australians, Indonesians, and Indonesian Migrants in Australia.</t>
  </si>
  <si>
    <t>Pekerti, Andre A.; Arli, Denni</t>
  </si>
  <si>
    <t>Journal of Business Ethics</t>
  </si>
  <si>
    <t>2015-34452-001</t>
  </si>
  <si>
    <t>10.1007/s10551-015-2777-z</t>
  </si>
  <si>
    <t>Human Migration; Sociocultural Factors; Generational Differences; Consumer Ethics; Intelligence; Ideology; Adulthood (18 yrs &amp; older); Male; Female</t>
  </si>
  <si>
    <t>We explore the notion that culture influences people’s values, and their subsequent ideologies and ethical behaviors. We present the idea that culture itself changes with time, and explore the influence of culture and generational markers on consumer ethics by examining differences in these ethical dimensions between Australians, Indonesians, and Indonesian Migrants in Australia, as well as differences between Generation X versus Generations Y and Z. The present study addresses the need to investigate the role that culture plays in consumer ethics, and the interaction between culture and generational attitudes in determining consumer ethics. Results established a distinct multiculturality in our three cultural samples, including a generational cohort differences. This suggests that culture and generational markers influence ethical beliefs, ideologies, and consumer ethics. It further indicates that Indonesian Migrants have acculturated to Australian society both in terms of their values and consumer behaviors, illustrating a crossvergence effect; scores indicate that these Migrants have the highest cultural intelligence among our samples. Implications of the findings for consumer ethics theory and practice are considered and future directions identified. (PsycINFO Database Record (c) 2018 APA, all rights reserved)</t>
  </si>
  <si>
    <t>http://search.ebscohost.com.proxy-ub.rug.nl/login.aspx?direct=true&amp;db=psyh&amp;AN=2015-34452-001&amp;site=ehost-live&amp;scope=site</t>
  </si>
  <si>
    <t>Do immigration and acculturation have an impact on hyperemesis gravidarum? Results of a study in Berlin/Germany.</t>
  </si>
  <si>
    <t>David, Matthias; Borde, Theda; Siedentopf, Friederike</t>
  </si>
  <si>
    <t>Journal of Psychosomatic Obstetrics &amp; Gynecology</t>
  </si>
  <si>
    <t>2012-11999-005</t>
  </si>
  <si>
    <t>10.3109/0167482X.2012.666594</t>
  </si>
  <si>
    <t>Distress; Immigration; Physical Disorders; Pregnancy; Vomiting; Acculturation; Adolescence (13-17 yrs); Adulthood (18 yrs &amp; older); Young Adulthood (18-29 yrs); Thirties (30-39 yrs); Female</t>
  </si>
  <si>
    <t>Question: How large is the number of immigrant women being treated for hyperemesis gravidarum (HG) among the in-patients in a University hospital in Germany? Does migration have an impact on the psychosocial state of HG patients? Does acculturation have an impact on psychosocial distress in HG patients? Methods: The following methods were used: retrospective evaluation of all in-patients with HG from 1/1997 to 11/2009, inquiry of a consecutively surveyed group (from 2007 to 2009) of HG in-patients with a questionnaire set: socio-demographic data, questionnaire on psychic distress (SCL-90-R) questionnaire on migration/acculturation, and comparison of German patients and patients with immigration backgrounds as well as among immigrant groups. Results: During the 13-year study period, there were 4.5 times more immigrants treated for HG than native German patients. Compared to the age standardized resident population, the number of women with immigration backgrounds is over-proportionally high. The HG patients scored high in the SCL-90-R scale 'somatization' without showing a higher level of psychic distress than the native patients. Conclusions: Experience of migration is an etiological cofactor for HG. The grade of acculturation does not have a significant influence on the psychic well-being of HG patients. (PsycINFO Database Record (c) 2016 APA, all rights reserved)</t>
  </si>
  <si>
    <t>http://search.ebscohost.com.proxy-ub.rug.nl/login.aspx?direct=true&amp;db=psyh&amp;AN=2012-11999-005&amp;site=ehost-live&amp;scope=site</t>
  </si>
  <si>
    <t>Do they feel the same way? Health-related quality of life and satisfaction with life in Jewish immigrants from the Former Soviet Union in Germany and Israel.</t>
  </si>
  <si>
    <t>Nesterko, Yuriy; Ulitsa, Natalie; Friedrich, Michael; Glaesmer, Heide</t>
  </si>
  <si>
    <t>2018-22363-007</t>
  </si>
  <si>
    <t>10.1177/0022022118759223</t>
  </si>
  <si>
    <t>Immigration; Life Satisfaction; Social Integration; Health Related Quality of Life; Jews; Race and Ethnic Discrimination; Social Issues; Social Processes; Adulthood (18 yrs &amp; older); Male; Female</t>
  </si>
  <si>
    <t>There is consensus that experiences gained during immigration have an impact on health status. However, studies comparing health-related outcomes in homogeneous groups of immigrants living in different host countries are rare. In a sample of Jewish immigrants from the Former Soviet Union (FSU) in two different host countries, Germany and Israel, possible predictors of health-related quality of life (HRQoL) and satisfaction with life (SWL) were examined. In total, 359 Jewish immigrants from the FSU living in Germany (n = 180) and Israel (n = 179) completed the questionnaire measuring immigration-related and sociodemographic characteristics. HRQoL was assessed via Short Form Health Survey Version 2 (SF-12v2), and SWL via Satisfaction With Life Scale (SWLS). Hierarchical linear regression models were applied for analyzing immigration-related and sociodemographic predictors of HRQoL and SWL. Participants living in Israel scored higher on HRQoL, and no differences were found concerning SWL ratings. However, no direct influences of the host country were detected by predicting HRQoL and SWL scores. In both subgroups, immigration-related factors such as perceived discrimination or level of integration were found as significant predictors. In the face of different immigration waves in the host countries, Germany and Israel, the results display similarities rather than differences between the groups concerning the sociodemographic and immigration-related predictors on HRQoL and SWL. The findings using cross-cultural analysis level underscore the need of much more detailed future research on this issue. (PsycINFO Database Record (c) 2020 APA, all rights reserved)</t>
  </si>
  <si>
    <t>http://search.ebscohost.com.proxy-ub.rug.nl/login.aspx?direct=true&amp;db=psyh&amp;AN=2018-22363-007&amp;site=ehost-live&amp;scope=site</t>
  </si>
  <si>
    <t>Does culture matter? An examination of the association of immigrants’ acculturation with workplace relationship quality.</t>
  </si>
  <si>
    <t>Jian, Guowei</t>
  </si>
  <si>
    <t>Management Communication Quarterly</t>
  </si>
  <si>
    <t>2012-10331-005</t>
  </si>
  <si>
    <t>10.1177/0893318912440178</t>
  </si>
  <si>
    <t>Acculturation; Immigration; Relationship Quality; Working Conditions; Personnel; Adulthood (18 yrs &amp; older); Young Adulthood (18-29 yrs); Thirties (30-39 yrs); Middle Age (40-64 yrs); Aged (65 yrs &amp; older); Male; Female</t>
  </si>
  <si>
    <t>In spite of immigrants’ growing role in the workforce of the United States and other developed countries, organizational communication research about the experience of immigrant employees in the host culture is still very limited. Drawing on the bidimensional acculturation theory, the purpose of this study was to investigate the association of acculturation of immigrant employees with three types of workplace relationships: leader–member exchange (LMX), coworker, and mentoring relationship. Based on a survey of immigrant employees in a U.S. Midwestern city, the study reveals that the two dimensions of acculturation, adjustment to one’s host culture and retention of one’s original culture, are differentially related to the three types of workplace relationships. Both theoretical and practical implications of these findings are discussed in the study. (PsycINFO Database Record (c) 2016 APA, all rights reserved)</t>
  </si>
  <si>
    <t>http://search.ebscohost.com.proxy-ub.rug.nl/login.aspx?direct=true&amp;db=psyh&amp;AN=2012-10331-005&amp;site=ehost-live&amp;scope=site</t>
  </si>
  <si>
    <t>Does motivation to migrate matter? Voluntary and forced African migrants and their acculturation preferences in New Zealand.</t>
  </si>
  <si>
    <t>Udahemuka, Martine; Pernice, Regina</t>
  </si>
  <si>
    <t>Journal of Pacific Rim Psychology</t>
  </si>
  <si>
    <t>2013-30315-005</t>
  </si>
  <si>
    <t>10.1375/prp.4.1.44</t>
  </si>
  <si>
    <t>Acculturation; Human Migration; Motivation; Adulthood (18 yrs &amp; older); Young Adulthood (18-29 yrs); Thirties (30-39 yrs); Middle Age (40-64 yrs); Male; Female</t>
  </si>
  <si>
    <t>As there is no research on forced migration of African migrants to New Zealand, in particular on the interrelations among psychological motives to migrate and psychological acculturation preferences, the present study aims to address this gap. One hundred and five forced and voluntary African migrants to New Zealand completed a questionnaire, which included two measures (a) the Psychological Motives to Migrate (Tharmaseelan, 2005) and (b) the Psychological Acculturation Index (Mace, 2004). Demographic information, including data on the New Zealand government immigration categories through which the migrant gained entry and length of time in New Zealand, was also collected. Multivariate analyses indicated that motivations to migrate do matter when it comes to acculturation preferences. Further, it was found that psychological motives to migrate were better predictors of acculturation preferences than the government immigration categories. Specifically, voluntary migrants (those motivated by ‘family life improvement’ and ‘exploration’) preferred to adapt to New Zealand culture, while forced migrants (those motivated by ‘escaping’) had a higher preference to maintain their culture of origin. Duration of time in New Zealand was correlated with acculturation preferences. Implications of the findings point to the importance of assessing motivations to migrate from a psychological perspective. (PsycINFO Database Record (c) 2016 APA, all rights reserved)</t>
  </si>
  <si>
    <t>http://search.ebscohost.com.proxy-ub.rug.nl/login.aspx?direct=true&amp;db=psyh&amp;AN=2013-30315-005&amp;site=ehost-live&amp;scope=site</t>
  </si>
  <si>
    <t>Does neighbourhood composition modify the association between acculturation and unhealthy dietary behaviours?</t>
  </si>
  <si>
    <t>Zhang, Donglan; van Meijgaard, Jeroen; Shi, Lu; Cole, Brian; Fielding, Jonathan</t>
  </si>
  <si>
    <t>Journal of Epidemiology and Community Health</t>
  </si>
  <si>
    <t>2015-37306-001</t>
  </si>
  <si>
    <t>10.1136/jech-2014-203881</t>
  </si>
  <si>
    <t>BMJ Publishing Group</t>
  </si>
  <si>
    <t>Acculturation; Diets; Immigration; Neighborhoods; Adulthood (18 yrs &amp; older); Male; Female</t>
  </si>
  <si>
    <t>Objective: Studies have shown that immigrants' acculturation is associated with numerous unhealthy behaviours. Yet, the role of environmental factors in modifying the effect of acculturation on health behaviours has received little attention. This study aims to create a more nuanced understanding of the health effects of acculturation by examining how neighbourhood immigrant composition modifies the association between individuals' eating patterns and acculturation. Methods: Cross-sectional Data from Los Angeles County Health Survey 2007 adult sample were linked to data on retail food establishments and US Census 2000 neighbourhood characteristics. Acculturation was measured by language spoken at home and years stayed in the US. Eating fast food more than once per week and eating zero serving of fruit or vegetables during the previous day were used as proxy indicators for unhealthy dietary behaviour. Multilevel logistic regression models were performed in the full sample and in the sample with only Latino adults. Results: Immigrants' lack of acculturation and living in a neighbourhood with a high percentage immigrants were associated with healthier dietary behaviour. We also identified that lack of acculturation conveyed a significantly stronger protective effect on regular fast-food consumption for immigrants living in neighbourhoods with higher percentage immigrants (OR: 0.34, 95% CI: 0.12 to 0.93). Conclusions: Among immigrants in Los Angeles County, living in a neighbourhood with a high density of other immigrants attenuates the negative effects of acculturation on healthy eating behaviours. Healthy eating promotion efforts should build on this protective effect in outreach to acculturating immigrant communities. (PsycINFO Database Record (c) 2016 APA, all rights reserved)</t>
  </si>
  <si>
    <t>http://search.ebscohost.com.proxy-ub.rug.nl/login.aspx?direct=true&amp;db=psyh&amp;AN=2015-37306-001&amp;site=ehost-live&amp;scope=site</t>
  </si>
  <si>
    <t>Does religion matter? Italians’ responses towards Muslim and Christian Arab immigrants as a function of their acculturation preferences.</t>
  </si>
  <si>
    <t>Matera, Camilla; Picchiarini, Anna; Olsson, Maria; Brown, Rupert</t>
  </si>
  <si>
    <t>2020-18646-002</t>
  </si>
  <si>
    <t>10.1016/j.ijintrel.2019.12.002</t>
  </si>
  <si>
    <t>Acculturation; Immigration; Intergroup Dynamics; Religion; Majority Groups; Arabs; Adulthood (18 yrs &amp; older); Male; Female</t>
  </si>
  <si>
    <t>A 2 × 2 × 2 experiment examined the role of immigrants’ religion and perceived acculturation strategy on majority members’ attitudes. Acculturation strategies were manipulated along the two dimensions of contact and culture maintenance. Italian majority members (N = 247) read fictitious but seemingly real interviews with Arab immigrants, in which the immigrants’ religion (Muslim vs. Christian) and acculturation preferences (desire for contact and for culture maintenance) were manipulated. MANOVA showed a main effect of contact: majority members associated immigrants who were perceived to favour contact with more positive attitudes, empathy, trust, positive stereotypes and metastereotypes, and lower levels of threat. MANOVA also showed a main effect of culture maintenance: when immigrants were perceived to abandon their culture, majority members reported lower levels of symbolic threat and greater empathy towards them. A significant Religion x Culture maintenance interaction effect emerged on majority members’ stereotypes and contact intentions: Muslim immigrants who were perceived to abandon their heritage culture elicited more favourable responses than Muslim immigrants who were perceived to maintain their heritage culture. Taken together, these findings suggest that desire for intergroup contact amongst immigrants, independently of their religion, can promote harmonious intergroup relations with the majority group. (PsycInfo Database Record (c) 2020 APA, all rights reserved)</t>
  </si>
  <si>
    <t>http://search.ebscohost.com.proxy-ub.rug.nl/login.aspx?direct=true&amp;db=psyh&amp;AN=2020-18646-002&amp;site=ehost-live&amp;scope=site</t>
  </si>
  <si>
    <t>Does selective migration explain the Hispanic paradox? A comparative analysis of Mexicans in the U.S. and Mexico.</t>
  </si>
  <si>
    <t>Bostean, Georgiana</t>
  </si>
  <si>
    <t>2013-14543-022</t>
  </si>
  <si>
    <t>10.1007/s10903-012-9646-y</t>
  </si>
  <si>
    <t>Health; Human Migration; Immigration; Latinos/Latinas; Adulthood (18 yrs &amp; older); Young Adulthood (18-29 yrs); Thirties (30-39 yrs); Middle Age (40-64 yrs); Aged (65 yrs &amp; older); Very Old (85 yrs &amp; older); Male; Female</t>
  </si>
  <si>
    <t>Latino immigrants, particularly Mexican, have some health advantages over U.S.-born Mexicans and Whites. Because of their lower socioeconomic status, this phenomenon has been called the epidemiologic 'Hispanic Paradox.' While cultural theories have dominated explanations for the Paradox, the role of selective migration has been inadequately addressed. This study is among the few to combine Mexican and U.S. data to examine health selectivity in activity limitation, self-rated health, and chronic conditions among Mexican immigrants, ages 18 and over. Drawing on theories of selective migration, this study tested the 'healthy migrant' and 'salmon-bias' hypotheses by comparing the health of Mexican immigrants in the U.S. to non-migrants in Mexico, and to return migrants in Mexico. Results suggest that there are both healthy migrant and salmon-bias effects in activity limitation, but not other health aspects. In fact, consistent with prior research, immigrants are negatively selected on self-rated health. Future research should consider the complexities of migrants’ health profiles and examine selection mechanisms alongside other factors such as acculturation. (PsycINFO Database Record (c) 2016 APA, all rights reserved)</t>
  </si>
  <si>
    <t>http://search.ebscohost.com.proxy-ub.rug.nl/login.aspx?direct=true&amp;db=psyh&amp;AN=2013-14543-022&amp;site=ehost-live&amp;scope=site</t>
  </si>
  <si>
    <t>Domestic violence within Asian-Indian communities: Does acculturation affect the rate of reported domestic violence?</t>
  </si>
  <si>
    <t>Sahni, Tarmeen K.</t>
  </si>
  <si>
    <t>8-B</t>
  </si>
  <si>
    <t>2011-99040-331</t>
  </si>
  <si>
    <t>Acculturation; Communities; Cross Cultural Differences; Domestic Violence</t>
  </si>
  <si>
    <t>The present study examined acculturation among Asian-Indians, residing in the United States and Canada, and explored: (1) whether acculturation can predict reporting of domestic violence, (2) how acculturation between Asian-Indians immigrants and US/Canadian born Asian-Indians is related to reporting domestic violence, and (3) how traditional practices such as arranged marriage and/or dowry influence the relationship between acculturation and domestic violence. Participants (N=100) were administered the Acculturation Scale for Asian Indians (ASAI; Parekh, 2000) and the Revised Conflict Tactics Scale (CTS2; Straus, 1996). Results demonstrated that acculturation was not found to be a good predictor of physical assault or psychological aggression and that acculturation was not significantly related to physical assault or psychological aggression. Significant results were found for birth status and acculturation. Traditional arranged marriage and dowry could not be addressed due to the low number of participants that could be classified into these variables. Therefore, a qualitative analysis was conducted. Factors influencing these results and limitations of the present study were offered. (PsycINFO Database Record (c) 2016 APA, all rights reserved)</t>
  </si>
  <si>
    <t>http://search.ebscohost.com.proxy-ub.rug.nl/login.aspx?direct=true&amp;db=psyh&amp;AN=2011-99040-331&amp;site=ehost-live&amp;scope=site</t>
  </si>
  <si>
    <t>Duration of US residence and suicidality among racial/ethnic minority immigrants.</t>
  </si>
  <si>
    <t>Brown, Monique J.; Cohen, Steven A.; Mezuk, Briana</t>
  </si>
  <si>
    <t>2015-04151-008</t>
  </si>
  <si>
    <t>10.1007/s00127-014-0947-4</t>
  </si>
  <si>
    <t>Human Migration; Immigration; Minority Groups; Psychopathology; Suicide; Attempted Suicide; Mental Disorders; Psychiatric Symptoms; Racial and Ethnic Groups; Suicidal Ideation; Suicidology; Suicidality; Childhood (birth-12 yrs); School Age (6-12 yrs); Adolescence (13-17 yrs); Adulthood (18 yrs &amp; older); Young Adulthood (18-29 yrs); Male; Female</t>
  </si>
  <si>
    <t>Purpose: The immigration experience embodies a range of factors including different cultural norms and expectations, which may be particularly important for groups who become racial/ethnic minorities when they migrate to the US. However, little is known about the correlates of mental health indicators among these groups. The primary and secondary aims were to determine the association between duration of US residence and suicidality, and 12-month mood, anxiety, and substance use disorders, respectively, among racial/ethnic minority immigrants. Methods: Data were obtained from the National Survey of American Life and the National Latino and Asian American Survey. Multivariable logistic regression was used to determine the association between duration of US residence, and suicidality and 12-month psychopathology. Results: Among Afro-Caribbeans, there was a modest positive association between duration of US residence and 12-month psychopathology (Plinear trend = 0.016). Among Asians there was a modest positive association between duration of US residence and suicidal ideation and attempts (Plinear trend = 0.018, 0.063, respectively). Among Latinos, there was a positive association between duration of US residence, and suicidal ideation, attempts and 12-month psychopathology (Plinear trend = 0.001, 0.012, 0.002, respectively). Latinos who had been in the US for &gt;20 years had 2.6 times greater likelihood of suicidal ideation relative to those who had been in the US for &lt;5 years (95 % CI 1.01–6.78). Conclusions: The association between duration of US residence and suicidality and psychopathology varies across racial/ethnic minority groups. The results for Latino immigrants are broadly consistent with the goal-striving or acculturation stress hypothesis. (PsycINFO Database Record (c) 2019 APA, all rights reserved)</t>
  </si>
  <si>
    <t>http://search.ebscohost.com.proxy-ub.rug.nl/login.aspx?direct=true&amp;db=psyh&amp;AN=2015-04151-008&amp;site=ehost-live&amp;scope=site</t>
  </si>
  <si>
    <t>Durational and generational differences in Mexican immigrant obesity: Is acculturation the explanation?</t>
  </si>
  <si>
    <t>Creighton, Mathew J.; Goldman, Noreen; Pebley, Anne R.; Chung, Chang Y.</t>
  </si>
  <si>
    <t>2012-14217-009</t>
  </si>
  <si>
    <t>10.1016/j.socscimed.2012.03.013</t>
  </si>
  <si>
    <t>Acculturation; Immigration; Obesity; Generational Differences; Diets; Exercise; Adulthood (18 yrs &amp; older); Male; Female</t>
  </si>
  <si>
    <t>Using the Los Angeles Family and Neighborhood Survey (L.A.FANS-2; n = 1610), we explore the link between Mexican immigrant acculturation, diet, exercise and obesity. We distinguish Mexican immigrants and 2nd generation Mexicans from 3rd+ generation whites, blacks and Mexicans. First, we examine variation in social and linguistic measures by race/ethnicity, duration of residence and immigrant generation. Second, we consider the association between acculturation, diet and exercise. Third, we evaluate the degree to which acculturation, diet, exercise, and socioeconomic status explain the association between race/ethnicity, immigrant exposure to the US (duration since immigration/generation), and adult obesity. Among immigrants, we find a clear relationship between acculturation measures, exposure to the US, and obesity-related behaviors (diet and exercise). However, the acculturation measures do not clearly account for the link between adult obesity, immigrant duration and generation, and race/ethnicity. (PsycINFO Database Record (c) 2016 APA, all rights reserved)</t>
  </si>
  <si>
    <t>http://search.ebscohost.com.proxy-ub.rug.nl/login.aspx?direct=true&amp;db=psyh&amp;AN=2012-14217-009&amp;site=ehost-live&amp;scope=site</t>
  </si>
  <si>
    <t>Early life and environmental risk factors modify the effect of acculturation on Hispanic children's asthma.</t>
  </si>
  <si>
    <t>Chavez-Payan, Paola; Grineski, Sara E.; Collins, Timothy W.</t>
  </si>
  <si>
    <t>Hispanic Health Care International</t>
  </si>
  <si>
    <t>2015-42601-002</t>
  </si>
  <si>
    <t>10.1891/1540-4153.13.3.119</t>
  </si>
  <si>
    <t>Acculturation; Asthma; Risk Factors; Latinos/Latinas; Birth Weight; Immigration; Childhood (birth-12 yrs); Adulthood (18 yrs &amp; older); Male; Female</t>
  </si>
  <si>
    <t>Acculturation tends to erode Hispanic immigrants' initial health advantage. Using a more nuanced conceptualization of acculturation than previous studies, we explore the associations between acculturation and Hispanic children's asthma. Data came from an observational mail survey of caretakers of Hispanic schoolchildren in El Paso, Texas (N = 1,513). Results from generalized linear models (GzLMs) demonstrate that acculturation was a significant positive predictor of asthma. The addition of interaction terms revealed that prenatal smoking, low birth weight, breastfeeding, and pest exposure significantly modified the effect of acculturation on asthma. Results suggest that although higher levels of acculturation were detrimental overall, the effects were not equally damaging for all Hispanic children. Findings foster an understanding of how the effect of acculturation on Hispanic children's asthma is intensified or attenuated by distinct individual-level risk factors. (PsycINFO Database Record (c) 2016 APA, all rights reserved)</t>
  </si>
  <si>
    <t>http://search.ebscohost.com.proxy-ub.rug.nl/login.aspx?direct=true&amp;db=psyh&amp;AN=2015-42601-002&amp;site=ehost-live&amp;scope=site</t>
  </si>
  <si>
    <t>Ecological influences on Chinese migrant mothers’ integration with Hong Kong.</t>
  </si>
  <si>
    <t>Ho, Wing-Chung; Cheung, Chau-Kiu</t>
  </si>
  <si>
    <t>2011-00456-004</t>
  </si>
  <si>
    <t>10.1016/j.ijintrel.2010.11.002</t>
  </si>
  <si>
    <t>Environmental Effects; Human Migration; Interpersonal Influences; Mothers; Social Integration; Ecology; Adulthood (18 yrs &amp; older); Young Adulthood (18-29 yrs); Thirties (30-39 yrs); Middle Age (40-64 yrs); Aged (65 yrs &amp; older); Female</t>
  </si>
  <si>
    <t>The present study uses an ecological model to understand how personal, interpersonal, and environmental factors contribute to migrant mothers’ employment readiness and their perceived integration with the host society. In the literature, successful employment, especially for recent arrivals, has proven to be important in the acculturation process. Little work has taken into account how various personal characteristics, relational factors (e.g., social capital), and neighborhood features make their contributions simultaneously. To enrich the work, this study employs survey data on 433 Chinese migrant mothers living in three low-income neighborhoods of Hong Kong. Results are supportive of the ecological model. They are favorable to the strengthening of social capital and workplace accessibility as a way to champion migrant women's integration with the host society. (PsycINFO Database Record (c) 2016 APA, all rights reserved)</t>
  </si>
  <si>
    <t>http://search.ebscohost.com.proxy-ub.rug.nl/login.aspx?direct=true&amp;db=psyh&amp;AN=2011-00456-004&amp;site=ehost-live&amp;scope=site</t>
  </si>
  <si>
    <t>Economic insecurity and access to the social safety net among Latino farmworker families.</t>
  </si>
  <si>
    <t>Padilla, Yolanda C.; Scott, Jennifer L.; Lopez, Olivia</t>
  </si>
  <si>
    <t>2014-19245-007</t>
  </si>
  <si>
    <t>10.1093/sw/swu013</t>
  </si>
  <si>
    <t>Agricultural Workers; Employment Status; Social Services; Welfare Services (Government); Latinos/Latinas; Economics; Family; Adulthood (18 yrs &amp; older); Male; Female</t>
  </si>
  <si>
    <t>Farmworkers experience pervasive economic insecurity in part because of the seasonal nature of agricultural work and limited employment protections. Yet little is known about the adequacy of the social safety net in responding to farmworker needs. Using data from the 2005–2009 National Agricultural Workers Survey (N = 10,469), the current study analyzed predictors of social welfare participation among Latinos, who represent approximately 80 percent of all farmworkers. Nearly 95 percent are immigrants, although almost half of them have lived in the United States for more than 10 years. Descriptive analyses showed that, even among farmworker households whose income fell below the poverty line or that were headed by legally documented individuals, social services use was very low. Logistic regression analyses revealed that degree of social integration influenced social welfare participation, controlling for education, poverty status, family composition, and employment characteristics. Latino farmworkers who were recent immigrants (that is, in the United States for less than five years) had significantly lower odds of access to social insurance and public assistance programs relative to their U.S.-born counterparts. Low self-reported English ability significantly decreased access to most social insurance programs but not public assistance receipt. The findings indicate the need for social workers to engage in outreach efforts and policy advocacy to improve farmworkers access to social welfare. (PsycINFO Database Record (c) 2018 APA, all rights reserved)</t>
  </si>
  <si>
    <t>http://search.ebscohost.com.proxy-ub.rug.nl/login.aspx?direct=true&amp;db=psyh&amp;AN=2014-19245-007&amp;site=ehost-live&amp;scope=site</t>
  </si>
  <si>
    <t>Economic pressure, cultural adaptation stress, and marital quality among Mexican-origin couples.</t>
  </si>
  <si>
    <t>Helms, Heather M.; Supple, Andrew J.; Su, Jinni; Rodriguez, Yuliana; Cavanaugh, Alyson M.; Hengstebeck, Natalie D.</t>
  </si>
  <si>
    <t>Journal of Family Psychology</t>
  </si>
  <si>
    <t>2014-04342-002</t>
  </si>
  <si>
    <t>10.1037/a0035738</t>
  </si>
  <si>
    <t>Acculturation; Couples; Marital Relations; Relationship Quality; Latinos/Latinas; Economics; Marital Satisfaction; Stress; Adulthood (18 yrs &amp; older); Male; Female</t>
  </si>
  <si>
    <t>Based on data from a sample of 120 first-generation Mexican immigrant couples collected at the start of the Great Recession in the United States, this study tested an actor–partner interdependence mediation model (APIMeM) in which spouses’ perceptions of stress related to economic pressure and cultural adaptation were linked to their own and their partners’ reports of marital satisfaction through spouses’ depressive symptoms and marital negativity. As hypothesized, results supported indirect links between economic and cultural adaptation stressors and spouses’ marital negativity and satisfaction: (1) contextual stress was associated with depressive symptoms, (2) depressive symptoms were positively associated with marital negativity for both husbands and wives and negatively associated with marital satisfaction for wives only, and (3) marital negativity was inversely associated with marital satisfaction for both spouses. Two partner effects emerged: (a) husbands’ depressive symptoms were positively associated with wives’ reports of marital negativity and (b) husbands’ marital negativity was inversely related to wives’ marital satisfaction. From these findings, we can infer that the psychological distress that arises for Mexican-origin spouses as they respond to the challenges of making ends meet during difficult economic times while they simultaneously navigate adapting to life in a new country is evidenced in their marital quality. Specifically, this study found that contextual stress external to the marital relationship was transmitted via spouses’ psychological distress and negative marital exchanges to spouses’ marital satisfaction. Wives’ marital satisfaction was shown to be uniquely vulnerable to their own and their husbands’ depressive symptoms and marital negativity. (PsycINFO Database Record (c) 2016 APA, all rights reserved)</t>
  </si>
  <si>
    <t>http://search.ebscohost.com.proxy-ub.rug.nl/login.aspx?direct=true&amp;db=psyh&amp;AN=2014-04342-002&amp;site=ehost-live&amp;scope=site</t>
  </si>
  <si>
    <t>Effect modification by acculturation and education of the association of religion and smoking in immigrants.</t>
  </si>
  <si>
    <t>Gillum, R. F.</t>
  </si>
  <si>
    <t>2011-05261-001</t>
  </si>
  <si>
    <t>10.1007/s10903-010-9400-2</t>
  </si>
  <si>
    <t>Letter</t>
  </si>
  <si>
    <t>Acculturation; Education; Immigration; Religion; Tobacco Smoking; Mexican Americans; Adolescence (13-17 yrs); Male; Female</t>
  </si>
  <si>
    <t>This study hypothesized the strong inverse association of religious participation with cigarette smoking might become weaker with greater acculturation and education in an immigrant population. In a national health survey, 5,088 Mexican Americans aged 17 years and over had data on frequency of attendance at religious services (FARS), smoking, education, place of birth, language spoken at home, indicators of acculturation. In men and women combined, among the 2,218 born in Mexico, the prevalence of smoking was strongly related to FARS. This was also true among the 2505 born in the US. These findings suggest that the apparent protective effect of religious participation to produce tobacco avoidance does not diminish among Mexican immigrants to the US as they and their descendents become acculturated and more educated. These analyses should be replicated in other immigrant populations. (PsycINFO Database Record (c) 2016 APA, all rights reserved)</t>
  </si>
  <si>
    <t>http://search.ebscohost.com.proxy-ub.rug.nl/login.aspx?direct=true&amp;db=psyh&amp;AN=2011-05261-001&amp;site=ehost-live&amp;scope=site</t>
  </si>
  <si>
    <t>Effect of acculturation and health beliefs on utilization of health care services by elderly women who immigrated to the USA from the former Soviet Union.</t>
  </si>
  <si>
    <t>Yarova, Lyubov A.; Krassen Covan, Eleanor; Fugate-Whitlock, Elizabeth</t>
  </si>
  <si>
    <t>2013-39850-006</t>
  </si>
  <si>
    <t>10.1080/07399332.2013.807259</t>
  </si>
  <si>
    <t>Acculturation; Health Attitudes; Health Care Utilization; Immigration; Sociocultural Factors; Human Females; Adulthood (18 yrs &amp; older); Middle Age (40-64 yrs); Female</t>
  </si>
  <si>
    <t>In this mixed methods study, researchers explored what conditions influence women’s use of professional health care services, and how sociocultural environments and acculturation affect utilization of health care services. We recruited 15 women in the Ukraine, 15 women who immigrated from the former Soviet Union, and 10 female U.S. citizens. Data include open-ended interviews, a 'general information' questionnaire, and the Language, Identity and Behavioral Acculturation scale. Acculturation levels and length of residency in the United States were not consistent predictors of health-seeking behaviors for immigrants. The stronger predictor of health beliefs and health related behaviors among all participants was their mothers’ health beliefs and health related behaviors. (PsycINFO Database Record (c) 2017 APA, all rights reserved)</t>
  </si>
  <si>
    <t>http://search.ebscohost.com.proxy-ub.rug.nl/login.aspx?direct=true&amp;db=psyh&amp;AN=2013-39850-006&amp;site=ehost-live&amp;scope=site</t>
  </si>
  <si>
    <t>Effect of acculturation and mutuality on family loyalty among Mexican American caregivers of elders.</t>
  </si>
  <si>
    <t>Kao, Hsueh‐Fen S.; An, Kyungeh</t>
  </si>
  <si>
    <t>Journal of Nursing Scholarship</t>
  </si>
  <si>
    <t>2012-14638-002</t>
  </si>
  <si>
    <t>10.1111/j.1547-5069.2012.01442.x</t>
  </si>
  <si>
    <t>Acculturation; Caregivers; Family; Communities; Loyalty; Mexican Americans; Adulthood (18 yrs &amp; older); Thirties (30-39 yrs); Middle Age (40-64 yrs); Aged (65 yrs &amp; older); Male; Female</t>
  </si>
  <si>
    <t>Purpose: Informal family care for elders is conventional in Mexican American communities despite increasing intergenerational gaps in filial values. In our study, we explored whether acculturation and dyadic mutuality, as perceived by Mexican American family caregivers, explain the caregivers’ expectations of family loyalty toward elderly relatives. Design: A nonexperimental, correlational design with convenience sampling was used in El Paso, Texas, from October 2007 to January 2008. Methods: Three bilingual promotoras collected data from 193 Mexican American adult caregivers of community‐dwelling elders using three scales designed for Mexican Americans: the Acculturation Rating Scale for Mexican Americans II‐Short Form, the Mutuality Scale, and the Expectations of Family Loyalty of Children Toward Elderly Relatives Scale. Confirmatory factor analysis was used to analyze the data. Findings: Acculturation had a marginal effect (r = .21, p &lt; .05), but mutuality presented a strong correlation (r = .45, p &lt; .001) with the expectations of family loyalty toward elderly relatives. There was no significant correlation between acculturation and mutuality (r = .05). Conclusions: Although Mexican American caregivers with strong Mexican orientation may have high expectations of family loyalty toward elderly relatives, mutuality exhibits more significant effects on expectations. Among Mexican Americans, mutuality between the caregiving dyad, as perceived by caregivers, may be a better predictor of filial values than caregivers’ acculturation alone. Clinical Relevance: It may be useful to incorporate the dual paradigm of acculturation and mutuality into immigrant family care for elderly relatives. (PsycINFO Database Record (c) 2016 APA, all rights reserved)</t>
  </si>
  <si>
    <t>http://search.ebscohost.com.proxy-ub.rug.nl/login.aspx?direct=true&amp;db=psyh&amp;AN=2012-14638-002&amp;site=ehost-live&amp;scope=site</t>
  </si>
  <si>
    <t>Effects of acculturative stress on PTSD, depressive, and anxiety symptoms among refugees resettled in Australia and Austria.</t>
  </si>
  <si>
    <t>Kartal, Dzenana; Kiropoulos, Litza</t>
  </si>
  <si>
    <t>European Journal of Psychotraumatology</t>
  </si>
  <si>
    <t>2016-20360-001</t>
  </si>
  <si>
    <t>10.3402/ejpt.v7.28711</t>
  </si>
  <si>
    <t>Co-Action Publishing</t>
  </si>
  <si>
    <t>Acculturation; Anxiety Disorders; Major Depression; Posttraumatic Stress Disorder; Refugees; Symptoms; Adulthood (18 yrs &amp; older); Young Adulthood (18-29 yrs); Thirties (30-39 yrs); Middle Age (40-64 yrs); Aged (65 yrs &amp; older); Male; Female</t>
  </si>
  <si>
    <t>Background: Research indicates that exposure to war-related traumatic events impacts on the mental health of refugees and leads to higher rates of posttraumatic stress disorder (PTSD), depression, and anxiety symptoms. Furthermore, stress associated with the migration process has also been shown to impact negatively on refugees’ mental health, but the extent of these experiences is highly debatable as the relationships between traumatic events, migration, and mental health outcomes are complex and poorly understood. Objective: This study aimed to examine the influence of trauma-related and post-migratory factors on symptoms of PTSD, depression, and anxiety in two samples of Bosnian refugees that have resettled in two different host nationsAustria and Australia. Method: Using multiple recruitment methods, 138 participants were recruited to complete self-report measures assessing acculturative stress, PTSD, depressive, and anxiety symptoms. Results: Hierarchical regressions indicated that after controlling for age, sex, and exposure to traumatic events, acculturative stress associated with post-migratory experiences predicted severity of PTSD and anxiety symptoms, while depressive symptoms were only predicted by exposure to traumatic events. This model, however, was only significant for Bosnian refugees resettled in Austria, as PTSD, depressive, and anxiety symptoms were only predicted by traumatic exposure in the Bosnian refugees resettled in Australia. Conclusion: These findings point toward the importance of assessing both psychological and social stressors when assessing mental health of refugees. Furthermore, these results draw attention to the influence of the host societyon post-migratory adaptation and mental health of refugees. Further research is needed to replicate these findings among other refugee samples in other host nations. (PsycINFO Database Record (c) 2017 APA, all rights reserved)</t>
  </si>
  <si>
    <t>http://search.ebscohost.com.proxy-ub.rug.nl/login.aspx?direct=true&amp;db=psyh&amp;AN=2016-20360-001&amp;site=ehost-live&amp;scope=site</t>
  </si>
  <si>
    <t>Effects of attachment patterns on levels of acculturation and mother-daughter relationship among Asian Indian immigrant mothers and their adult daughters.</t>
  </si>
  <si>
    <t>Singhal, Swarna Lata</t>
  </si>
  <si>
    <t>3-B</t>
  </si>
  <si>
    <t>2005-99018-174</t>
  </si>
  <si>
    <t>Acculturation; Attachment Behavior; Daughters; Immigration; Mother Child Relations; Adulthood (18 yrs &amp; older); Female</t>
  </si>
  <si>
    <t>Many view immigration as a stressful situation due to major environmental and psychosocial adjustment. The immigration adjustment process is even more problematic for immigrant Asian Indian women who carry the burden of transmitting familial and cultural values to their children, especially their daughters. Prior research suggested that the attachment patterns or attachment styles influence the way immigrants cope with the process of immigration. This study investigated the effects of attachment patterns on the level of acculturation and attachment relationship among immigrant Asian Indian mothers and their U.S.-raised daughters. In this study, Asian Indian mothers and their daughters responded to the Suinn-Lew Acculturation Scale (SL-ASIA, 1992) modified for the Asian Indian population, Relationship Questionnaire (RQ, Bartholomew &amp; Horowitz, 1991), Relationship Scale Questionnaire (RSQ, Griffin &amp; Bartholomew, 1994), Intimacy Scale (Walker &amp; Thompson, 1983), Conflict Scale (Boyd, 1987), and a background information questionnaire. Statistically significant correlations were found between intergenerational transmission of attachment patterns among mothers and daughters and their levels of intimacy and conflict with each other. Nearly two thirds of secure mothers had secure daughters. Similarly, approximately two thirds of insecure mothers had insecure daughters. Secure mothers and daughters reported more intimacy and less conflict while insecure mothers and daughters reported less intimacy and more conflict in their relationship with each other. No significant statistical correlation was found between attachment patterns and levels of acculturation of either mothers or daughters. However, several socio-demographic variables were found to be significantly correlated to attachment patterns and acculturation levels of both mothers and daughters. (PsycINFO Database Record (c) 2016 APA, all rights reserved)</t>
  </si>
  <si>
    <t>http://search.ebscohost.com.proxy-ub.rug.nl/login.aspx?direct=true&amp;db=psyh&amp;AN=2005-99018-174&amp;site=ehost-live&amp;scope=site</t>
  </si>
  <si>
    <t>Effects of basic human values on host community acculturation orientations.</t>
  </si>
  <si>
    <t>Sapienza, Irene; Hichy, Zira; Guarnera, Maria; Di Nuovo, Santo</t>
  </si>
  <si>
    <t>2010-14455-009</t>
  </si>
  <si>
    <t>10.1080/00207591003587978</t>
  </si>
  <si>
    <t>Acculturation; Immigration; Values; Adulthood (18 yrs &amp; older); Young Adulthood (18-29 yrs); Thirties (30-39 yrs); Male; Female</t>
  </si>
  <si>
    <t>Although literature provides evidence for the relationship between values and acculturation, the relationship between host community acculturation orientations has not yet been investigated. In this study we tested the effects of four high-order values (openness to change, self-transcendence, conservation, and self-enhancement, devised according to Schwartz's model) on host community acculturation orientations towards immigrants (devised according the interactive acculturation model) in the public domain of employment and the private domain of endogamy/exogamy. Participants were 264 Italian University students, who completed a questionnaire containing the Portrait Values Questionnaire, a measure of personal values, and the Host Community Acculturation Scale, aimed at measuring Italian acculturation strategies towards three groups of immigrants: Immigrants (the general category), Chinese (the valued immigrant group), and Albanians (the devalued immigrant group). Results showed that personal values are related to the adoption of acculturation orientations: In particular, the values that mostly impacted on acculturation orientations were self-transcendence and conservation. Values concerning self-transcendence encourage the adoption of integrationism, integrationism-transformation, and individualism and reduce the adoption of assimilationism, segregationism, and exclusionism. Values concerning conservation encourage the adoption of assimilation, segregation and exclusion orientations and reduce the adoption of both types of integrationism and individualism. Minor effects were found regarding self-enhancement and openness to change. (PsycInfo Database Record (c) 2020 APA, all rights reserved)</t>
  </si>
  <si>
    <t>http://search.ebscohost.com.proxy-ub.rug.nl/login.aspx?direct=true&amp;db=psyh&amp;AN=2010-14455-009&amp;site=ehost-live&amp;scope=site</t>
  </si>
  <si>
    <t>Effects of illiteracy on the European Cross-cultural Neuropsychological Test Battery (CNTB).</t>
  </si>
  <si>
    <t>Nielsen, T. Rune</t>
  </si>
  <si>
    <t>Archives of Clinical Neuropsychology</t>
  </si>
  <si>
    <t>2019-46723-012</t>
  </si>
  <si>
    <t>10.1093/arclin/acy076</t>
  </si>
  <si>
    <t>Education; Literacy; Neuropsychological Assessment; Neurosciences; Test Validity; Acculturation; Cross Cultural Psychology; Goals; Immigration; Test Construction; Test Performance; Adulthood (18 yrs &amp; older); Middle Age (40-64 yrs); Aged (65 yrs &amp; older); Very Old (85 yrs &amp; older); Male; Female</t>
  </si>
  <si>
    <t>Objectives: Test performances of illiterate and literate immigrants were compared to investigate the effects of illiteracy on the European Cross-cultural Neuropsychological Test Battery (CNTB), and associations between test performance and participant characteristics were examined. Method: Participants were 20 illiterate and 21 literate middle-aged and older Turkish immigrants (50–85 years) matched by age and gender that completed the CNTB as well as a number of demographic and medical questionnaires. Results: No significant group differences or correlations between education, acculturation or health characteristics and test performances were found on 10 of 16 measures. Illiteracy status and participant characteristics affected measures of mental processing speed, executive function, and visuoconstruction. Conclusions: The preliminary findings suggest that several of the measures in the CNTB may be valid for assessment of cognitive functioning in people who are illiterate when applied using available normative data. However, these findings need to be replicated in larger samples. (PsycINFO Database Record (c) 2019 APA, all rights reserved)</t>
  </si>
  <si>
    <t>http://search.ebscohost.com.proxy-ub.rug.nl/login.aspx?direct=true&amp;db=psyh&amp;AN=2019-46723-012&amp;site=ehost-live&amp;scope=site</t>
  </si>
  <si>
    <t>Effects of interviewer ethnicity and topic intimacy on self-disclosure and self-concealment in South Asians.</t>
  </si>
  <si>
    <t>Bhagavathula, Sujata</t>
  </si>
  <si>
    <t>5-B</t>
  </si>
  <si>
    <t>2004-99022-155</t>
  </si>
  <si>
    <t>Interviewers; Intimacy; Self-Disclosure; South Asian Cultural Groups; Adulthood (18 yrs &amp; older); Young Adulthood (18-29 yrs); Thirties (30-39 yrs); Female</t>
  </si>
  <si>
    <t>The present study investigated the effects of interviewer ethnicity and topic intimacy on self-disclosure and self-concealment in South Asian women. Fifty South Asian immigrant women, ages 18-30, were recruited from university and community settings across the United States. A 2 x 3 within subjects design was employed. There were two levels of interviewer ethnicity (South Asian and European American) and three levels of topic intimacy (low, medium, and high intimacy). Participants were audio taped while responding to telephone interview questions of varying intimacy posed by South Asian and European American interviewers. The interviews were transcribed and coded for all explicitly verbalized disclosures, vocalized pauses, and halts in conversation. Participants completed four self-report measures, including a modified version of the Suinn-Lew Asian Self-Identity Acculturation Scale (SL-ASIA; Suinn, Rickard-Figueroa, Lew, &amp; Vigil, 1987), the Revised Self-Disclosure Scales (RSDS; Wheeless &amp; Grotz, 1976), the Self-Concealment Scale (SCS; Larson &amp; Chastain, 1990), and a demographics questionnaire (designed for this study). The results obtained were contrary to the predictions of increased disclosure and less concealment in an ethnically matched interviewer-interviewee condition. No differences in rates of behavioral disclosure to either the South Asian or American target were found across topic intimacy questions. An effect of interviewer ethnicity on rates of behavioral concealment was found, however, it was not in the direction predicted. South Asian women concealed more when speaking with an ethnically similar target. This was substantiated by evidence from self-report data indicating a greater preference to disclose personally relevant information to an American target than to a South Asian target. These findings suggest that an ethnic match does not necessarily facilitate disclosure. Rather, cultural differences in disclosure may be determined primarily by the characteristics of the target, rather than the ethnicity match of the discloser-target dyad. This interpretation is consistent with the literature on sex differences in self-disclosure, which indicates that target effects (e.g., more disclosure to women) best account for the observed variations across same-sex and opposite-sex dyads. (PsycINFO Database Record (c) 2016 APA, all rights reserved)</t>
  </si>
  <si>
    <t>http://search.ebscohost.com.proxy-ub.rug.nl/login.aspx?direct=true&amp;db=psyh&amp;AN=2004-99022-155&amp;site=ehost-live&amp;scope=site</t>
  </si>
  <si>
    <t>Effects of literacy on semantic verbal fluency in an immigrant population.</t>
  </si>
  <si>
    <t>Nielsen, T. Rune; Waldemar, Gunhild</t>
  </si>
  <si>
    <t>Aging, Neuropsychology, and Cognition</t>
  </si>
  <si>
    <t>2016-27074-005</t>
  </si>
  <si>
    <t>10.1080/13825585.2015.1132668</t>
  </si>
  <si>
    <t>Acculturation; Literacy; Racial and Ethnic Differences; Neuropsychological Assessment; Verbal Fluency; Adulthood (18 yrs &amp; older); Middle Age (40-64 yrs); Aged (65 yrs &amp; older); Male; Female</t>
  </si>
  <si>
    <t>Objective: A significant impact of limited schooling and illiteracy has been found on numerous neuropsychological tests, which may partly be due to the ecological relevance of the tests in the context of illiteracy. The aims of this study were to compare the performance of illiterate and literate immigrants on two semantic criteria for the verbal fluency test, and examine the influence of acculturation on test performances. Method: Performances of 20 cognitively unimpaired illiterate and 21 literate Turkish immigrants aged ≥50 years were compared on an animal and supermarket criterion for the semantic verbal fluency test. Also, the influence of acculturation on test performances was examined. Results: Significantly poorer performance of the illiterate compared to the literate group was found for the animal criterion, whereas no differences were found for the supermarket criterion that was considered more ecologically relevant for illiterate individuals. A significant interaction effect was found between the semantic criteria and literacy group, which was mainly related to a large effect of semantic criteria within the illiterate group. Adjusting for years of residence in Denmark and acculturation score did not affect this interaction effect. Conclusions: Overall, our results are in line with previous studies comparing semantic fluency in illiterate and literate individuals. The results lend further support to the strong associations between literacy, semantic verbal fluency performance and ecological relevance of the semantic criterion and extend previous findings to immigrants with different cultural experiences related to the acculturation process. (PsycINFO Database Record (c) 2016 APA, all rights reserved)</t>
  </si>
  <si>
    <t>http://search.ebscohost.com.proxy-ub.rug.nl/login.aspx?direct=true&amp;db=psyh&amp;AN=2016-27074-005&amp;site=ehost-live&amp;scope=site</t>
  </si>
  <si>
    <t>Effects of self-esteem and ethnic identity: Acculturative stress and psychological well-being among Mexican immigrants.</t>
  </si>
  <si>
    <t>Kim, Eunha; Hogge, Ingrid; Salvisberg, Camila</t>
  </si>
  <si>
    <t>2014-42566-003</t>
  </si>
  <si>
    <t>10.1177/0739986314527733</t>
  </si>
  <si>
    <t>Acculturation; Ethnic Identity; Immigration; Self-Esteem; Stress; Mental Health; Well Being; Latinos/Latinas; Adulthood (18 yrs &amp; older); Young Adulthood (18-29 yrs); Thirties (30-39 yrs); Middle Age (40-64 yrs); Male; Female</t>
  </si>
  <si>
    <t>We examined whether self-esteem and ethnic identity moderated or mediated the relationship between two types of acculturative stress (American-based and Mexican-based) and psychological well-being among 171 first-generation Mexican immigrant adults. American-based acculturative stress (ABAS) was defined as the stress related to the pressure from Anglo-Americans to improve English and adopt their cultural practices, while Mexican-based acculturative stress (MBAS) was related to the pressure from Mexican immigrants to improve Spanish and retain Mexican cultural practices. The findings suggested that self-esteem was negatively affected by acculturative stress, which, in turn, led to decreased psychological well-being. However, having high self-esteem alleviated the debilitating effects of acculturative stress against psychological well-being. In contrast to self-esteem, ethnic identity exacerbated the negative effect of acculturative stress on psychological well-being. (PsycINFO Database Record (c) 2016 APA, all rights reserved)</t>
  </si>
  <si>
    <t>http://search.ebscohost.com.proxy-ub.rug.nl/login.aspx?direct=true&amp;db=psyh&amp;AN=2014-42566-003&amp;site=ehost-live&amp;scope=site</t>
  </si>
  <si>
    <t>Embracing city life: Physical activities and the social integration of the new generation of female migrant workers in urban China.</t>
  </si>
  <si>
    <t>Xiong, Huan; Bairner, Alan; Tang, Zhi</t>
  </si>
  <si>
    <t>Leisure Studies</t>
  </si>
  <si>
    <t>2020-82646-002</t>
  </si>
  <si>
    <t>10.1080/02614367.2020.1800802</t>
  </si>
  <si>
    <t>Foreign Workers; Physical Activity; Social Integration; Social Networks; Urban Environments; Human Females; Human Migration; Sports; Test Construction; Adulthood (18 yrs &amp; older); Female</t>
  </si>
  <si>
    <t>Drawing on empirical data from interviews with young Chinese female rural–urban migrant workers in the Pearl River Delta of China’s Guangdong province, this article explores the ways in which physical activities help to fulfil the ‘urban dream’ of this new generation of female migrant workers and promote their social integration. The article demonstrates that physical activities exert their influence and facilitate the young female migrant workers’ social integration into cities through four dimensions: ‘space’, ‘network’, ‘identity’ and ‘image’. Participating in sport and exercise expands the scale of workers’ living spaces and contributes to building social networks and self-identification. It also enhances female migrant workers’ individualistic values, as opposed to family-oriented ones. These new values allow them to enjoy recreational life and to change the stereotypical image of rural–urban migrant workers. (PsycInfo Database Record (c) 2021 APA, all rights reserved)</t>
  </si>
  <si>
    <t>http://search.ebscohost.com.proxy-ub.rug.nl/login.aspx?direct=true&amp;db=psyh&amp;AN=2020-82646-002&amp;site=ehost-live&amp;scope=site</t>
  </si>
  <si>
    <t>Emotional acculturation.</t>
  </si>
  <si>
    <t>De Leersnyder, Jozefien; Mesquita, Batja; Kim, Heejung</t>
  </si>
  <si>
    <t>Changing emotions.</t>
  </si>
  <si>
    <t>2013-13943-018</t>
  </si>
  <si>
    <t>Psychology Press</t>
  </si>
  <si>
    <t>Acculturation; Cross Cultural Differences; Culture Change; Emotions; Immigration; Emotional Regulation; Adulthood (18 yrs &amp; older)</t>
  </si>
  <si>
    <t>Do emotions acculturate when people move from one culture to the next? We conceive of 'emotional acculturation' as the process by which immigrants come to share the host culture's most prevalent patterns of emotional experiences. In this chapter we will discuss the first evidence that emotional acculturation takes place, and provide details on the dynamics of this process. We will also highlight how the finding of emotional acculturation speaks to mechanisms of emotional change generally. (PsycInfo Database Record (c) 2020 APA, all rights reserved)</t>
  </si>
  <si>
    <t>http://search.ebscohost.com.proxy-ub.rug.nl/login.aspx?direct=true&amp;db=psyh&amp;AN=2013-13943-018&amp;site=ehost-live&amp;scope=site</t>
  </si>
  <si>
    <t>Emotional intelligence and acculturation.</t>
  </si>
  <si>
    <t>Schmitz, Paul G.; Schmitz, Florian</t>
  </si>
  <si>
    <t>Behavioral Psychology / Psicología Conductual: Revista Internacional Clínica y de la Salud</t>
  </si>
  <si>
    <t>2012-09168-001</t>
  </si>
  <si>
    <t>Fundación para el Avance de la Psicologia Clínica Conductual</t>
  </si>
  <si>
    <t>Acculturation; Emotional Intelligence; Immigration; Adulthood (18 yrs &amp; older); Male; Female</t>
  </si>
  <si>
    <t>Previous research has shown that migrants develop various styles to adjust to a new culture. The present study was concerned with two questions: (1) Why do some migrants prefer a particular acculturation style whereas others adopt a different one, and (2) why do some migrants reveal a higher level of adjustment than others? In a sample of 349 immigrants living in Germany (199 Turks and 150 North-Africans), we investigated the influence of emotional intelligence (EI) with the Trait-Meta-Mood Scale (TMMS). Acculturation styles were assessed with the Acculturation Attitudes Scale (AAS) as well as specific markers of acculturation behavior. Adjustment was captured by the Satisfaction with life scale (SWLS), the subjective happiness scale (SHS), and the Beck Depression Inventory (BDI) as an inverse marker. Additionally, we assessed perceived unfairness and discrimination. Findings show that EI and its subcomponents are related to beneficial forms of acculturation attitudes and acculturation behavior. EI was also shown to affect acculturation experiences, such as perceived discrimination and perceived unfairness, as well as a number of psychological adjustment variables. (PsycINFO Database Record (c) 2016 APA, all rights reserved)</t>
  </si>
  <si>
    <t>http://search.ebscohost.com.proxy-ub.rug.nl/login.aspx?direct=true&amp;db=psyh&amp;AN=2012-09168-001&amp;site=ehost-live&amp;scope=site</t>
  </si>
  <si>
    <t>Empathic family stress as a sign of family connectedness in Haitian immigrants.</t>
  </si>
  <si>
    <t>Nicolas, Guerda; Desilva, Angela; Prater, Kimberly; Bronkoski, Elizabeth</t>
  </si>
  <si>
    <t>2009-03109-011</t>
  </si>
  <si>
    <t>10.1111/j.1545-5300.2009.01272.x</t>
  </si>
  <si>
    <t>Acculturation; Empathy; Family Members; Immigration; Stress; Symptoms; Adulthood (18 yrs &amp; older); Young Adulthood (18-29 yrs); Thirties (30-39 yrs); Middle Age (40-64 yrs); Aged (65 yrs &amp; older); Very Old (85 yrs &amp; older); Male; Female</t>
  </si>
  <si>
    <t>Research on familial experiences has documented the important role of receiving family support, but has not examined the effects of providing such support. Empathic family stress refers to the stress that individuals experience in response to difficult life circumstances of family members. The current study took a first step in examining the empathic family stress of 134 Haitian immigrants. Results from hierarchical regressions indicate that empathic family stress is a significant predictor of depressive symptoms, but not acculturative stress, for Haitian immigrants. Findings from the study are examined from a strengths-based perspective, where empathic family stress is viewed as a sign of strong family connections among Haitian immigrants. Recommendations are provided for clinicians working with Haitian immigrants to help them experience empathic family stress in a healthy manner. (PsycINFO Database Record (c) 2016 APA, all rights reserved)</t>
  </si>
  <si>
    <t>http://search.ebscohost.com.proxy-ub.rug.nl/login.aspx?direct=true&amp;db=psyh&amp;AN=2009-03109-011&amp;site=ehost-live&amp;scope=site</t>
  </si>
  <si>
    <t>Empowering youth sport and acculturation: Examining the hosts’ perspective in Greek adolescents.</t>
  </si>
  <si>
    <t>Morela, Eleftheria; Hatzigeorgiadis, Antonis; Sanchez, Xavier; Papaioannou, Athanasios; Elbe, Anne-Marie</t>
  </si>
  <si>
    <t>Psychology of Sport and Exercise</t>
  </si>
  <si>
    <t>2017-15474-026</t>
  </si>
  <si>
    <t>10.1016/j.psychsport.2017.03.007</t>
  </si>
  <si>
    <t>Acculturation; Adolescent Attitudes; Empowerment; Sports; Adolescence (13-17 yrs); Male; Female</t>
  </si>
  <si>
    <t>Objectives: Research on the role of sport as a context for the acculturation of young migrants has mainly focused on migrant populations. Considering that acculturation is a two-way process involving both the migrant and the host populations, research investigating the perspective of the hosts will enhance our understanding of the acculturation process. The purpose of the present study was to explore acculturation attitudes and perceptions of adolescents from the host population as a function of sport participation. Furthermore, for those adolescents participating in sport, the role of the sport motivational climate and its relation to acculturation attitudes was investigated. Design and Method: A cross-sectional quantitative design was adopted. Participants were 626 (316 girls) Greek, high school students (13.88 ± 1.01 years of age). Among them, 271 (92 girls) were athletes competing in individual and team sports. While all participants completed measures of acculturation attitudes, the athletes additionally completed measures of motivational climate, basic need satisfaction, and controlling coaching behavior. Results: Athletes scored higher than non-athletes on attitudes towards multicultural contact. Analysis of structural models revealed that a motivational climate characterized by a mastery climate, supportive of the needs of autonomy, competence, and relatedness, was positively linked to attitudes favoring migrants’ maintenance of their culture and development of interaction with the host culture, whereas a motivational climate characterized by a performance climate and controlling coaching behavior was negatively linked to such attitudes. Conclusion: These findings provide useful insights concerning the perspectives of the host population regarding migrants’ acculturation and the role motivational climate play in promoting integration. (PsycInfo Database Record (c) 2020 APA, all rights reserved)</t>
  </si>
  <si>
    <t>http://search.ebscohost.com.proxy-ub.rug.nl/login.aspx?direct=true&amp;db=psyh&amp;AN=2017-15474-026&amp;site=ehost-live&amp;scope=site</t>
  </si>
  <si>
    <t>Empowerment or disintegration? Migration, social institutions, and collective action in rural China.</t>
  </si>
  <si>
    <t>Lu, Yao</t>
  </si>
  <si>
    <t>American Journal of Sociology</t>
  </si>
  <si>
    <t>2020-10450-004</t>
  </si>
  <si>
    <t>10.1086/706755</t>
  </si>
  <si>
    <t>Univ of Chicago Press</t>
  </si>
  <si>
    <t>Communities; Empowerment; Human Migration; Rural Environments; Social Movements; Social Integration; Adulthood (18 yrs &amp; older)</t>
  </si>
  <si>
    <t>This article integrates literature on social movements and migration to examine how migration shapes both the cognitive and social foundations of collective action in origin communities. Using longitudinal data and in-depth interviews from rural China, the author finds that outward migration spurs collective resistance in origin communities and shapes the form and scale of collective action. Migration fosters noninstitutionalized rather than institutionalized collective action, because it induces relational diffusion that empowers peasants to mobilize and employ more effective resistance strategies. This holds more for small- and medium-size collective action than for large-scale mobilizations, mainly because out-migration can also trigger community disintegration that inhibits larger-scale action. Furthermore, local social institutions condition the role of migration: migration has a stronger positive impact in close-knit villages embedded in strong lineage networks than in less cohesive villages. The author contextualizes the findings against the distinct institutional arrangements in China, which were originally engineered to disenfranchise rural-origin people but which instead have inadvertently politicized migrants and peasants alike. (PsycInfo Database Record (c) 2020 APA, all rights reserved)</t>
  </si>
  <si>
    <t>http://search.ebscohost.com.proxy-ub.rug.nl/login.aspx?direct=true&amp;db=psyh&amp;AN=2020-10450-004&amp;site=ehost-live&amp;scope=site</t>
  </si>
  <si>
    <t>Enculturation and attitudes toward intimate partner violence and gender roles in an Asian Indian population: Implications for community-based prevention.</t>
  </si>
  <si>
    <t>Yoshihama, Mieko; Blazevski, Juliane; Bybee, Deborah</t>
  </si>
  <si>
    <t>2014-05586-001</t>
  </si>
  <si>
    <t>10.1007/s10464-014-9627-5</t>
  </si>
  <si>
    <t>Financial Strain; Intimate Partner Violence; Sex Role Attitudes; Sociocultural Factors; South Asian Cultural Groups; Adulthood (18 yrs &amp; older); Young Adulthood (18-29 yrs); Thirties (30-39 yrs); Middle Age (40-64 yrs); Male; Female</t>
  </si>
  <si>
    <t>This study examined the relationships among enculturation, attitudes supporting intimate partner violence (IPV-supporting attitudes), and gender role attitudes among one of the largest Asian Indian population groups in the US. Data were collected via computer-assisted telephone interviews with a random sample of Gujarati men and women aged 18–64 in Metropolitan Detroit. Using structural equation modeling, we modeled the effects of three components of enculturation (behavior, values, and community participation) on gender role attitudes and IPV-supporting attitudes among married respondents (N = 373). Analyses also accounted for the effects of respondent age, education, religious service attendance, perceived financial difficulty, and lengths of residence in the US. The second-order, overall construct of enculturation was the strongest predictor of IPV-supporting attitudes (standardized B = 0.61), but not gender role attitudes. Patriarchal gender role attitudes were positively associated with IPV-supporting attitudes (B = 0.49). In addition to the overall effect of the enculturation construct, two of the components of enculturation had specific effects. 'Enculturation-values' had a specific positive indirect association with IPV-supporting attitudes, through its relationship with patriarchal gender role attitudes. However, 'enculturation-community participation' was negatively associated with IPV-supporting attitudes, suggesting the importance of community-based prevention of IPV among this immigrant population group. (PsycINFO Database Record (c) 2016 APA, all rights reserved)</t>
  </si>
  <si>
    <t>http://search.ebscohost.com.proxy-ub.rug.nl/login.aspx?direct=true&amp;db=psyh&amp;AN=2014-05586-001&amp;site=ehost-live&amp;scope=site</t>
  </si>
  <si>
    <t>English fluency of the US immigrants: Assimilation effects, cohort variations, and periodical changes.</t>
  </si>
  <si>
    <t>Xi, Juan</t>
  </si>
  <si>
    <t>2013-19046-011</t>
  </si>
  <si>
    <t>10.1016/j.ssresearch.2013.03.002</t>
  </si>
  <si>
    <t>Acculturation; Cohort Analysis; English as Second Language; Immigration; Trends; Male; Female</t>
  </si>
  <si>
    <t>Using 1% Public-Use Microdata Samples (PUMSs) of the 1980, 1990, and 2000 census and the 2010 American Community Survey (ACS), this study evaluates three simultaneous longitudinal trends in immigrants’ English fluency: the assimilation process, variations across arrival cohorts, and periodical changes. The key findings include that the declining initial English fluency among new immigrants reported in a previous study based on 1980 and 1990 data (Carliner, 2000) was reversed in the 1990s and 2000s. Immigrants who arrived during the 2000s have the highest level of English fluency at the year of entry among all cohorts. Immigrants are assimilating. However, changes in social and linguistic environment in the US during the past two decades have suppressed the advancement of immigrants. The decline in the average English attainment from the 1980s to the 1990s reported in a previous study (Pitkin and Myers, 2011) was found to extend to the 2000s. Using new census data, this study updated the current knowledge on immigrants’ English fluency by revealing a never documented upward trend among recent immigrants and suppressive period effects from 1990 to 2010. (PsycINFO Database Record (c) 2017 APA, all rights reserved)</t>
  </si>
  <si>
    <t>http://search.ebscohost.com.proxy-ub.rug.nl/login.aspx?direct=true&amp;db=psyh&amp;AN=2013-19046-011&amp;site=ehost-live&amp;scope=site</t>
  </si>
  <si>
    <t>English proficiency and language preference: Testing the equivalence of two measures.</t>
  </si>
  <si>
    <t>Gee, Gilbert C.; Walsemann, Katrina M.; Takeuchi, David T.</t>
  </si>
  <si>
    <t>2010-03912-024</t>
  </si>
  <si>
    <t>10.2105/AJPH.2008.156976</t>
  </si>
  <si>
    <t>English as Second Language; Health Attitudes; Immigration; Language Proficiency; Asians; Preferences; Adulthood (18 yrs &amp; older); Male; Female</t>
  </si>
  <si>
    <t>Objectives: We examined the association of language proficiency vs language preference with self-rated health among Asian American immigrants. We also examined whether modeling preference or proficiency as continuous or categorical variables changed our inferences. Methods: Data came from the 2002–2003 National Latino and Asian American Study (n = 1639). We focused on participants’ proficiency in speaking, reading, and writing English and on their language preference when thinking or speaking with family or friends. We examined the relation between language measures and self-rated health with ordered and binary logistic regression. Results: All English proficiency measures were associated with self-rated health across all models. By contrast, associations between language preference and self-rated health varied by the model considered. Conclusions: Although many studies create composite scores aggregated across measures of English proficiency and language preference, this practice may not always be conceptually or empirically warranted. (PsycINFO Database Record (c) 2016 APA, all rights reserved)</t>
  </si>
  <si>
    <t>http://search.ebscohost.com.proxy-ub.rug.nl/login.aspx?direct=true&amp;db=psyh&amp;AN=2010-03912-024&amp;site=ehost-live&amp;scope=site</t>
  </si>
  <si>
    <t>Ethnic and mainstream social connectedness, perceived racial discrimination, and posttraumatic stress symptoms.</t>
  </si>
  <si>
    <t>Wei, Meifen; Wang, Kenneth T.; Heppner, Puncky Paul; Du, Yi</t>
  </si>
  <si>
    <t>Journal of Counseling Psychology</t>
  </si>
  <si>
    <t>2012-17949-007</t>
  </si>
  <si>
    <t>10.1037/a0028000</t>
  </si>
  <si>
    <t>Ethnic Identity; International Students; Posttraumatic Stress Disorder; Race and Ethnic Discrimination; Social Interaction; Chinese Cultural Groups; Symptoms; Adulthood (18 yrs &amp; older); Young Adulthood (18-29 yrs); Thirties (30-39 yrs); Middle Age (40-64 yrs); Male; Female</t>
  </si>
  <si>
    <t>Carter (2007) proposed the notion of race-based traumatic stress and argued that experiences of racial discrimination can be viewed as a type of trauma. In a sample of 383 Chinese international students at 2 predominantly White midwestern universities, the present results supported this notion and found that perceived racial discrimination predicted posttraumatic stress symptoms over and above perceived general stress. Furthermore, Berry (1997) proposed an acculturation framework and recommended that researchers advance the literature by examining the moderation effects on the association between racial discrimination and outcomes. The present results supported the moderation effect for Ethnic SC (i.e., social connectedness in the ethnic community), but not for Mainstream SC (i.e., social connectedness in mainstream society). A simple effects analysis indicated that a high Ethnic SC weakened the strength of the association between perceived racial discrimination and posttraumatic stress symptoms more than a low Ethnic SC. Moreover, although Mainstream SC failed to be a moderator, Mainstream SC was significantly associated with less perceived general stress, less perceived racial discrimination, and less posttraumatic stress symptoms. (PsycINFO Database Record (c) 2018 APA, all rights reserved)</t>
  </si>
  <si>
    <t>http://search.ebscohost.com.proxy-ub.rug.nl/login.aspx?direct=true&amp;db=psyh&amp;AN=2012-17949-007&amp;site=ehost-live&amp;scope=site</t>
  </si>
  <si>
    <t>Ethnic drinking culture, acculturation, and enculturation in relation to alcohol drinking behavior among marriage-based male immigrants in Taiwan.</t>
  </si>
  <si>
    <t>Chen, Hung-Hui; Chien, Li-Yin</t>
  </si>
  <si>
    <t>American Journal of Men's Health</t>
  </si>
  <si>
    <t>2018-41023-033</t>
  </si>
  <si>
    <t>10.1177/1557988318772744</t>
  </si>
  <si>
    <t>Alcohol Drinking Patterns; Ethnic Values; Immigration; Marriage; Sociocultural Factors; Acculturation; Alcohol Drinking Attitudes; Alcoholism; Chinese Cultural Groups; Test Construction; Adulthood (18 yrs &amp; older); Male</t>
  </si>
  <si>
    <t>Drinking behavior among immigrants could be influenced by drinking-related cultural norms in their country of origin and host country. This study examined the association of ethnic drinking culture, acculturation, and enculturation with alcohol drinking among male immigrants in Taiwan. This cross-sectional survey recruited 188 male immigrants. Ethnic drinking culture was divided into dry and wet according to per capita alcohol consumption and abstinent rate in the countries of origin in reference to that in Taiwan. A scale, Bidimensional Acculturation Scale for Marriage-Based Immigrants, was developed to measure acculturation (adaptation to the host culture) and enculturation (maintenance of the original culture). Drinking patterns (abstinent, low-risk drinking, and hazardous drinking) were determined by scores on the Alcohol Use Disorder Identification Test. There was a significant interaction between ethnic drinking culture and enculturation/acculturation on drinking patterns. Multinomial logistic regression models identified that for those from dry ethnic drinking cultures, a high level of acculturation was associated with increased low-risk drinking, while a high level of enculturation was associated with decreased low-risk drinking. For those from wet ethnic drinking cultures, a low level of acculturation and high level of enculturation were associated with increased hazardous drinking. High family socioeconomic status was associated with increased drinking, while perceived insufficient family income was positively associated with hazardous use. To prevent hazardous use of alcohol, health education should be targeted at immigrant men who drink, especially among those who have economic problems, are from wet ethnic drinking cultures, and demonstrate low adaptation to the host culture. (PsycINFO Database Record (c) 2019 APA, all rights reserved)</t>
  </si>
  <si>
    <t>http://search.ebscohost.com.proxy-ub.rug.nl/login.aspx?direct=true&amp;db=psyh&amp;AN=2018-41023-033&amp;site=ehost-live&amp;scope=site</t>
  </si>
  <si>
    <t>Ethnic enclave resources and predictors of depression among Arizona’s Korean immigrant elders.</t>
  </si>
  <si>
    <t>Kang, Suk-Young; Domanski, Margaret Dietz; Moon, Sung Seek</t>
  </si>
  <si>
    <t>2009-10626-003</t>
  </si>
  <si>
    <t>10.1080/01634370902983153</t>
  </si>
  <si>
    <t>Aging; Depression (Emotion); Immigration; Korean Cultural Groups; Living Arrangements; Predictability (Measurement); Racial and Ethnic Groups; Adulthood (18 yrs &amp; older); Middle Age (40-64 yrs); Aged (65 yrs &amp; older); Male; Female</t>
  </si>
  <si>
    <t>This is the first study examining predictors of depression among Arizona's Korean immigrant elders not residing in ethnic enclaves. A snowball sample of 120 elders, aged 64 and over, completed the study interview. The proportion of respondents reporting depression was 38.1%, higher than the incidence reported among counterparts in New York City's immigrant ethnic enclaves. Multiple regression analyses (R² = .44) indicate that English language proficiency had the most powerful effect on explaining depression. Discussion centers on why programs aimed at reducing language barriers among socially isolated immigrant elders need to be a first priority in service provision. (PsycINFO Database Record (c) 2016 APA, all rights reserved)</t>
  </si>
  <si>
    <t>http://search.ebscohost.com.proxy-ub.rug.nl/login.aspx?direct=true&amp;db=psyh&amp;AN=2009-10626-003&amp;site=ehost-live&amp;scope=site</t>
  </si>
  <si>
    <t>Ethnic group moderates the association between attachment and well-being in later life.</t>
  </si>
  <si>
    <t>Merz, Eva-Maria; Consedine, Nathan S.</t>
  </si>
  <si>
    <t>2012-21130-001</t>
  </si>
  <si>
    <t>10.1037/a0029595</t>
  </si>
  <si>
    <t>Attachment Behavior; Emotional Regulation; Life Span; Racial and Ethnic Differences; Well Being; Older Adulthood; Adulthood (18 yrs &amp; older); Aged (65 yrs &amp; older); Very Old (85 yrs &amp; older); Male; Female</t>
  </si>
  <si>
    <t>Attachment styles are associated with well-being across the life span. Particularly in later life, when individuals face declining health and increasing dependency, patterns of attachment may relate to affective outcomes. However, few studies have empirically examined the attachment–well-being link at the end of the life span or considered whether ethnic group membership may moderate attachment–well-being links. Data from a sample of older adults (N = 1,116) were used to investigate how secure, dismissive, and fearful/avoidant styles predicted well-being in 4 ethnic groups; African Americans, European Americans, Eastern European immigrants, and English-speaking Caribbean immigrants. As expected, both secure and dismissive attachment dimensions were related to greater well-being, whereas fearful/avoidant attachment was associated with less. This positive impact of a secure attachment style of relating to others on well-being was stronger among African Americans and English-speaking Caribbeans compared with the European American and Eastern European immigrant groups. The negative impact of a fearful/avoidant attachment style of relating on well-being was buffered by being an English-speaking Caribbean but not for the other 3 groups. Results are interpreted in light of general and culture-specific premises of attachment. The article concludes with some implications and suggestions for future work. (PsycInfo Database Record (c) 2020 APA, all rights reserved)</t>
  </si>
  <si>
    <t>http://search.ebscohost.com.proxy-ub.rug.nl/login.aspx?direct=true&amp;db=psyh&amp;AN=2012-21130-001&amp;site=ehost-live&amp;scope=site</t>
  </si>
  <si>
    <t>Ethnic identification and relationship satisfaction in Chinese, Western, and intercultural Chinese–Western couples.</t>
  </si>
  <si>
    <t>Kaya, Melisa; Halford, W. Kim; Hiew, Danika N.; Sheffield, Jeanie; van de Vijver, Fons J. R.</t>
  </si>
  <si>
    <t>Couple and Family Psychology: Research and Practice</t>
  </si>
  <si>
    <t>2019-49291-001</t>
  </si>
  <si>
    <t>10.1037/cfp0000120</t>
  </si>
  <si>
    <t>Couples; Cross Cultural Differences; Ethnic Identity; Exogamous Marriage; Relationship Satisfaction; Chinese Cultural Groups; Human Migration; Marriage; Test Construction; Multiculturalism; Partners; Adulthood (18 yrs &amp; older); Young Adulthood (18-29 yrs); Thirties (30-39 yrs); Middle Age (40-64 yrs); Male; Female</t>
  </si>
  <si>
    <t>Rates of international migration and intercultural marriage are rising. Migrants and intercultural partners may experience challenges in defining their ethnic identity relative to their own heritage culture, their partner’s heritage culture, and the majority culture of their country of residence. The current study examined Chinese and Western ethnic identification and relationship satisfaction in four cultural combinations of couples: Western–Western (Western male–Western female), Chinese–Chinese (Chinese male–Chinese female), Western male–Chinese female, and Chinese male–Western female. All couples were residing in Brisbane, Australia, a multicultural city with a majority Western culture. Intracultural couples (Western–Western and Chinese–Chinese) reported the strongest ethnic identification with their heritage culture and weakest ethnic identification with their nonheritage culture, whereas intercultural couples (Western male–Chinese female and Chinese male–Western female) demonstrated intermediate identification. Greater similarity between partners on ethnic identification with the majority Western culture of Australia predicted greater relationship satisfaction, but there was no association of relationship satisfaction with partner similarity on Chinese ethnic identification. We discuss patterns of ethnic identification in terms of acculturation of immigrants, the selection of partners who are similar in ethnic identification, and accommodation of individuals’ ethnic identification toward their partner’s ethnic identification. (PsycINFO Database Record (c) 2019 APA, all rights reserved)</t>
  </si>
  <si>
    <t>http://search.ebscohost.com.proxy-ub.rug.nl/login.aspx?direct=true&amp;db=psyh&amp;AN=2019-49291-001&amp;site=ehost-live&amp;scope=site</t>
  </si>
  <si>
    <t>Ethnic Identity in Acculturation Research: A Study of Multiple Identities of Jewish Refugees From the Former Soviet Union.</t>
  </si>
  <si>
    <t>Persky, Irena; Birman, Dina</t>
  </si>
  <si>
    <t>2005-08916-003</t>
  </si>
  <si>
    <t>10.1177/0022022105278542</t>
  </si>
  <si>
    <t>Acculturation; Ethnic Identity; Immigration; Life Satisfaction; Alienation; Emotional Adjustment; Social Identity; Adulthood (18 yrs &amp; older); Young Adulthood (18-29 yrs); Thirties (30-39 yrs); Middle Age (40-64 yrs); Male; Female</t>
  </si>
  <si>
    <t>This study explored the salience and predictive value of the identity dimension of acculturation among 351 Jewish refugees from the former Soviet Union in the United States. Whereas bidirectional acculturation models consider only two identities--ethnic identification with the culture of origin (Russian) and identification as a member of one's new society (American)--this study broadens the examination of identity to include a third component-Jewish identity. Jewish identity was found to be the most salient of the three but predicted only one of the aspects of psychological adjustment-alienation. Findings underscore the need for the acculturation field to incorporate the possibility of more than two cultures into the explanatory framework and to examine the extent to which ethnocultural identities are contextually bound. (PsycINFO Database Record (c) 2016 APA, all rights reserved)</t>
  </si>
  <si>
    <t>http://search.ebscohost.com.proxy-ub.rug.nl/login.aspx?direct=true&amp;db=psyh&amp;AN=2005-08916-003&amp;site=ehost-live&amp;scope=site</t>
  </si>
  <si>
    <t>Ethnic identity, acculturation, and perceived discrimination for indigenous Mexican youth: A cross-cultural comparative study of Yucatec Maya adolescents in the U.S. and Mexico.</t>
  </si>
  <si>
    <t>Casanova, Saskias Y.</t>
  </si>
  <si>
    <t>2020-86252-146</t>
  </si>
  <si>
    <t>Ethnic Identity; Race and Ethnic Discrimination; Latinos/Latinas; Acculturation; Adolescent Attitudes; Culture (Anthropological); Immigration; Indigenous Populations; Peers; Adolescence (13-17 yrs)</t>
  </si>
  <si>
    <t>Policymakers, practitioners, and educators frequently group Latina/o immigrant adolescents within a single homogenous category, thus creating a problem in understanding their diverse experiences. To explore these diverse Latina/o adolescent experiences this dissertation cross-culturally compares patterns of ethnic identity and acculturation across a group of Indigenous (Yucatec Maya) immigrant Latino/a adolescents in the U.S. with Yucatec Maya adolescents residing in Mexico and with non-Indigenous immigrant Latina/o adolescents in the U.S.How do ethnic identity, acculturation levels, perceived discrimination, and sense of school belonging compare across Yucatec Maya adolescents in the U.S., non-Yucatec Maya Latina/o adolescents in the U.S., and Yucatec Maya adolescents still in Mexico? What roles do individual factors such as gender, language, generation level, and external factors such as family, cultural practices, ethnic community networks, and peer relationships take in the adolescents' lives in the U.S. and in Yucatan? The study draws on ethnic identity and acculturation frameworks as they relate to perceived discrimination (the study of how the person targeted by discrimination reacts and interprets these acts) and to the adolescents' feelings of belonging at school. The participants included 65 Latina/o non-Yucatec Maya heritage adolescents living in the Los Angeles, California area, 66 Mexican Maya heritage immigrant adolescents living in San Francisco, California or the Los Angeles, California area, and 70 Mexican Maya heritage adolescents living in Yucatan, Mexico. All 201 adolescents took a survey incorporating measures of ethnic identity, acculturation, perceived discrimination, and school belonging. Thirty-eight of the adolescents participated in semi-structured interviews that explored attitudes toward school, culture, discrimination, family, community, and peers influencing the adolescents.Quantitative findings expose the intra-group differences across Yucatec Maya and non-Yucatec Maya Latina/os adolescents and the discrimination faced by the growing population of Yucatec Maya adolescents within the Latino/a immigrant groups. Language, gender, and generation all play roles in the amount of peer and adult perceived discrimination experienced and the distress caused by perceived discrimination across Indigenous and non-Indigenous adolescents. The quantitative findings ultimately show that Indigenous adolescents have different psychological and cultural experiences when compared to non-Indigenous Latina/o adolescents. Being Yucatec Maya, first generation, male, and/or knowledgeable of Maya would put the adolescent at a higher risk of experiencing more perceived discrimination acts and distress. More perceived discrimination from adults also relates to adolescents in the U.S. (both Yucatec Maya and non-Yucatec Maya) resulting in lower levels of school belonging.The qualitative findings across the non-Yucatec Maya adolescents, Yucatec Maya adolescents in the U.S., and Yucatec Maya adolescents in Mexico reveal an in depth look at multiple perspectives surrounding cultural and ethnic identity, cultural practices, American culture, discrimination, school, family, and peers. Specifically for the Yucatec Maya adolescents, the interviews provided a lens into their sentiments about the Maya culture and preserving the culture for future generations. The interviews reflect the agency, reclamation of culture, and lived experiences that make up the Indigenous and non-Indigenous adolescents of this study. The study exposes the Yucatec Maya youth's resilient Indigenous identity that emerges regardless of the discrimination they face from non-Latina/o/non-Mexican groups as well as from their own Latina/o/Mexican communities. This understanding is needed to provide more comprehensive resources and services to these adolescents. (PsycInfo Database Record (c) 2021 APA, all rights reserved)</t>
  </si>
  <si>
    <t>http://search.ebscohost.com.proxy-ub.rug.nl/login.aspx?direct=true&amp;db=psyh&amp;AN=2020-86252-146&amp;site=ehost-live&amp;scope=site</t>
  </si>
  <si>
    <t>Ethnic identity, acculturative stress, news uses, and two domains of civic engagement: A case of Korean immigrants in the United States.</t>
  </si>
  <si>
    <t>Seo, Mihye; Moon, Seong-Gin</t>
  </si>
  <si>
    <t>Mass Communication &amp; Society</t>
  </si>
  <si>
    <t>2013-09974-005</t>
  </si>
  <si>
    <t>10.1080/15205436.2012.696768</t>
  </si>
  <si>
    <t>Acculturation; Community Involvement; Ethnic Identity; News Media; Immigration; Stress; Adulthood (18 yrs &amp; older); Male; Female</t>
  </si>
  <si>
    <t>This study examines the roles of ethnic identity, acculturative stress, and news media use in explaining Korean immigrants’ civic engagement. An online survey of 1,135 Korean immigrants revealed that a strong Korean identity facilitated their engagement in the U.S. Korean community. However, this coethnic civic engagement was not mirrored by a corresponding civic engagement in their host society. Acculturative stress influenced a particular pattern of news media use: Immigrant Koreans who felt acculturative stress tended to consume more ethnic news media and less U.S. news media than those who did not suffer from acculturative stress. This particular media use pattern held them back from engaging in the civic activities related to mainstream U.S. society. (PsycINFO Database Record (c) 2016 APA, all rights reserved)</t>
  </si>
  <si>
    <t>http://search.ebscohost.com.proxy-ub.rug.nl/login.aspx?direct=true&amp;db=psyh&amp;AN=2013-09974-005&amp;site=ehost-live&amp;scope=site</t>
  </si>
  <si>
    <t>Ethnic identity, resettlement stress and depressive affect among Southeast Asian refugees in Canada.</t>
  </si>
  <si>
    <t>Beiser, Morton N. M. N.; Hou, Feng</t>
  </si>
  <si>
    <t>2006-06614-013</t>
  </si>
  <si>
    <t>10.1016/j.socscimed.2005.12.002</t>
  </si>
  <si>
    <t>Depression (Emotion); Ethnic Identity; Immigration; Mental Health; Stress; Refugees; Southeast Asian Cultural Groups; Adulthood (18 yrs &amp; older); Young Adulthood (18-29 yrs); Thirties (30-39 yrs); Middle Age (40-64 yrs); Aged (65 yrs &amp; older); Very Old (85 yrs &amp; older); Male; Female</t>
  </si>
  <si>
    <t>Does commitment to an ethnic identity enhance or jeopardize psychological well-being? Using data from a study of Southeast Asian 'Boat People', this study examined the mental health effects of ethnic identification as the former refugees confronted common resettlement stressors in Canada--unemployment, discrimination and lack of fluency in the dominant society language. The study team administered a questionnaire to 647 respondents covering ethnic identification, demographic and employment information, language fluency, experiences with discrimination, and depressive affect. Context helped determine the relationship between ethnic identification and depressive affect. When the Southeast Asians encountered racial discrimination or unemployment, ethnic identity attachment amplified the risk of depressive affect. By contrast, a strongly held ethnic identity provided a psychological advantage for individuals experiencing difficulties with the dominant language. (PsycINFO Database Record (c) 2016 APA, all rights reserved)</t>
  </si>
  <si>
    <t>http://search.ebscohost.com.proxy-ub.rug.nl/login.aspx?direct=true&amp;db=psyh&amp;AN=2006-06614-013&amp;site=ehost-live&amp;scope=site</t>
  </si>
  <si>
    <t>Ethnic in-group evaluation and adhesion to acculturation ideologies: The case of Moroccan immigrants in France.</t>
  </si>
  <si>
    <t>Badea, Constantina; Er-rafiy, Abdelatif; Chekroun, Peggy; Légal, Jean-Baptiste; Gosling, Patrick</t>
  </si>
  <si>
    <t>2015-10026-006</t>
  </si>
  <si>
    <t>10.1016/j.ijintrel.2015.01.003</t>
  </si>
  <si>
    <t>Acculturation; Citizenship; Immigration; Ingroup Outgroup; Racial and Ethnic Attitudes; Multiculturalism; Ideology; Adulthood (18 yrs &amp; older); Young Adulthood (18-29 yrs); Thirties (30-39 yrs); Middle Age (40-64 yrs); Male; Female</t>
  </si>
  <si>
    <t>The aim of this research was to examine the link between adhesion to different acculturation ideologies (multiculturalism, citizenship, secularism and assimilation) and group evaluation among Moroccan immigrants in France. We present two studies. In the first study, we found a negative correlation between adhesion to assimilation or secularism and in-group liking: the more immigrants preferred these ideologies, the less they displayed a positive evaluation of Moroccan people. No significant correlation was noticed between citizenship or multiculturalism and in-group liking. In contrast, adhesion to each one of the acculturation ideologies correlated positively with out-group liking. In the second study, we experimentally manipulated the acculturation ideologies and we showed that in-group liking was lower in assimilation and secularism conditions compared to citizenship and multiculturalism conditions. Out-group liking did not differ as a function of the acculturation ideology. The effect of acculturation ideologies on group evaluations was mediated by perception of the legitimacy of the acculturation ideologies. We discuss these results in terms of individual mobility. (PsycINFO Database Record (c) 2016 APA, all rights reserved)</t>
  </si>
  <si>
    <t>http://search.ebscohost.com.proxy-ub.rug.nl/login.aspx?direct=true&amp;db=psyh&amp;AN=2015-10026-006&amp;site=ehost-live&amp;scope=site</t>
  </si>
  <si>
    <t>Ethnicity, work-related stress and subjective reports of health by migrant workers: A multi-dimensional model.</t>
  </si>
  <si>
    <t>Capasso, Roberto; Zurlo, Maria Clelia; Smith, Andrew P.</t>
  </si>
  <si>
    <t>2018-01712-004</t>
  </si>
  <si>
    <t>10.1080/13557858.2016.1258041</t>
  </si>
  <si>
    <t>Business and Industrial Personnel; Ethnic Identity; Human Migration; Job Satisfaction; Occupational Stress; Health; Adulthood (18 yrs &amp; older); Young Adulthood (18-29 yrs); Thirties (30-39 yrs); Middle Age (40-64 yrs); Male; Female</t>
  </si>
  <si>
    <t>Objectives: This study integrates different aspects of ethnicity and work-related stress dimensions (based on the Demands-Resources-Individual-Effects model, DRIVE [Mark, G. M., and A. P. Smith. 2008. 'Stress Models: A Review and Suggested New Direction.' In Occupational Health Psychology, edited by J. Houdmont and S. Leka, 111–144. Nottingham: Nottingham University Press]) and aims to test a multi-dimensional model that combines individual differences, ethnicity dimensions, work characteristics, and perceived job satisfaction/stress as independent variables in the prediction of subjectives reports of health by workers differing in ethnicity. Design: A questionnaire consisting of the following sections was submitted to 900 workers in Southern Italy: for individual and cultural characteristics, coping strategies, personality behaviours, and acculturation strategies; for work characteristics, perceived job demands and job resources/rewards; for appraisals, perceived job stress/satisfaction and racial discrimination; for subjective reports of health, psychological disorders and general health. To test the reliability and construct validity of the extracted factors referred to all dimensions involved in the proposed model and logistic regression analyses to evaluate the main effects of the independent variables on the health outcomes were conducted. Results: Principal component analysis (PCA) yielded seven factors for individual and cultural characteristics (emotional/relational coping, objective coping, Type A behaviour, negative affectivity, social inhibition, affirmation/maintenance culture, and search identity/adoption of the host culture); three factors for work characteristics (work demands, intrinsic/extrinsic rewards, and work resources); three factors for appraisals (perceived job satisfaction, perceived job stress, perceived racial discrimination) and three factors for subjective reports of health (interpersonal disorders, anxious-depressive disorders, and general health). Logistic regression analyses showed main effects of specific individual and cultural differences, work characteristics and perceived job satisfaction/stress on the risk of suffering health problems. Conclusion: The suggested model provides a strong framework that illustrates how psychosocial and individual variables can influence occupational health in multi-cultural workplaces. (PsycINFO Database Record (c) 2018 APA, all rights reserved)</t>
  </si>
  <si>
    <t>http://search.ebscohost.com.proxy-ub.rug.nl/login.aspx?direct=true&amp;db=psyh&amp;AN=2018-01712-004&amp;site=ehost-live&amp;scope=site</t>
  </si>
  <si>
    <t>Evaluating differences in English learning placement among Black bilingual students and other ethnic groups.</t>
  </si>
  <si>
    <t>Mapp, David Jr.</t>
  </si>
  <si>
    <t>2009-99031-433</t>
  </si>
  <si>
    <t>Bilingualism; Blacks; Ethnic Identity; Minority Groups; Prejudice; Language</t>
  </si>
  <si>
    <t>Black immigrants to the United States deal with prejudice against them as both newcomers with a different culture and language, and as Blacks in a historically segregated society, which puts emphasis on American acculturation based on skin pigmentation. In Florida, largest number of Black immigrants, Haitians, deal with these factors as they struggle to assimilate. Similar to other racial disparity research, this study explored whether Black immigrants received less, equal, or more English learning services in comparison to non-Black bilingual students. Data was obtained from a sample of Florida middle school students of various ethnicities. A total of 125 surveys were distributed, 91 were returned, and 81 were usable for data analysis. Respondents completed a 14-item self administered survey, which obtained data on student demographics, racial/ethnic identity, English speaking and writing ability, as well as whether students were in an English-learning program. Descriptive statistics were used to examine the data. The results showed that there were Black bilingual students that were not receiving English-learning services. However, a Chi-squared statistic was calculated and showed that there was no significant difference in services received among bilingual speakers of Black descent compared to those of other ethnic descents. While this study revealed that officials showed practices of equality for both gender and ethnicity, there still needs to be practices and policy implemented to service English-learning students that are not receiving English-learning assistance. (PsycINFO Database Record (c) 2016 APA, all rights reserved)</t>
  </si>
  <si>
    <t>http://search.ebscohost.com.proxy-ub.rug.nl/login.aspx?direct=true&amp;db=psyh&amp;AN=2009-99031-433&amp;site=ehost-live&amp;scope=site</t>
  </si>
  <si>
    <t>Evaluating political acculturation strategies: The perspective of the majority and other minority groups.</t>
  </si>
  <si>
    <t>Hindriks, Paul; Verkuyten, Maykel; Coenders, Marcel</t>
  </si>
  <si>
    <t>Political Psychology</t>
  </si>
  <si>
    <t>2016-38987-001</t>
  </si>
  <si>
    <t>10.1111/pops.12356</t>
  </si>
  <si>
    <t>Acculturation; Minority Groups; Politics; Strategies; Adulthood (18 yrs &amp; older); Young Adulthood (18-29 yrs); Thirties (30-39 yrs); Middle Age (40-64 yrs); Aged (65 yrs &amp; older); Male; Female</t>
  </si>
  <si>
    <t>Applying the acculturation framework to the political domain, this research examines how Dutch majority members and members of different minority groups evaluate the political acculturation strategies of an immigrant‐origin group. Using an experimental vignette design (N = 664), the results show that the strategy of political assimilation (only advance the interests of society) was evaluated most positively, followed by integration (advance the interest of society and of the minority group), and then separation (only advance the interest of the minority group). This was found for the native Dutch as well as the immigrant‐origin groups. This suggest that minority members do not view minority outgroups as potential allies to counter the dominance of the majority group, but rather as competitors for political influence. Furthermore, the role of dual identification for the evaluation of ingroup political acculturation depended on the type of political acculturation strategy. (PsycINFO Database Record (c) 2018 APA, all rights reserved)</t>
  </si>
  <si>
    <t>http://search.ebscohost.com.proxy-ub.rug.nl/login.aspx?direct=true&amp;db=psyh&amp;AN=2016-38987-001&amp;site=ehost-live&amp;scope=site</t>
  </si>
  <si>
    <t>Evaluating the character of people who insult the nation: Implications for immigrant integration.</t>
  </si>
  <si>
    <t>Maxwell, Rahsaan; House, Lucie</t>
  </si>
  <si>
    <t>2017-09772-001</t>
  </si>
  <si>
    <t>10.1111/pops.12414</t>
  </si>
  <si>
    <t>Demographic Characteristics; Identity Formation; Immigration; Social Integration; Test Construction; Adulthood (18 yrs &amp; older)</t>
  </si>
  <si>
    <t>We examine immigrant integration by analyzing how natives evaluate immigrants' character. Most literature examines how natives distinguish between immigrants with different levels of assimilation, which is best suited to identifying integration boundaries between different types of immigrants. We shift the analysis and examine the boundary between immigrants and natives, which measures integration by the extent to which immigrant status is relevant for character evaluations. We compare how natives respond to national insults that come from immigrants as opposed to natives. We focus on insulting the nation because it highlights the salience of national identity and clarifies the importance of group boundaries. We measure responses to national insults with vignette experiments from three original surveys in the United States. Our results are consistent with situationist theories of interpersonal interactions because they suggest that character evaluations are more dependent on the situational distinction between people who do and do not insult the nation than the demographic distinction between whether the insult comes from a native or immigrant. These findings have multiple implications for our understanding of national identity, immigrant integration, and immigrant‐native boundaries. (PsycINFO Database Record (c) 2019 APA, all rights reserved)</t>
  </si>
  <si>
    <t>http://search.ebscohost.com.proxy-ub.rug.nl/login.aspx?direct=true&amp;db=psyh&amp;AN=2017-09772-001&amp;site=ehost-live&amp;scope=site</t>
  </si>
  <si>
    <t>Evaluating the satisfaction of immigrant women from a rural community regarding family functioning and health-related quality of life.</t>
  </si>
  <si>
    <t>Tsai, Su-Ying; Sun, Wen-Jung</t>
  </si>
  <si>
    <t>2013-10482-002</t>
  </si>
  <si>
    <t>10.1080/03630242.2013.767302</t>
  </si>
  <si>
    <t>Community Development; Life Satisfaction; Mental Health; Quality of Life; Health Related Quality of Life; Human Females; Immigration; Rural Environments; Adulthood (18 yrs &amp; older); Male; Female</t>
  </si>
  <si>
    <t>Transnational marriages in Taiwan are largely mediated by marriage brokers. The present study was conducted to evaluate the satisfaction of immigrant women with their family function and health-related quality of life in a rural township in southern Taiwan. Data were collected from January 1, 2006 to November 31, 2006, and 157 immigrants agreed to participate in the study, with a 79.3% response rate. A structured questionnaire was used for data collection. The interviewers also collected information on the immigrants’ and husbands’ demographics, self-reported mental conditions, family function using a Family APGAR questionnaire (Adaptability, Partnership, Growth, Affection, and Resolve), and health-related quality of life. Marriage arranged through a marriage broker and having emotional distress were factors that were strongly associated with lower Family APGAR scores. Based on multiple regression models, higher Family APGAR scores were more positively related to vitality and mental health scales. Self-reported mental conditions, including feeling economic distress, emotional distress, loneliness, and having sleep problems, were negatively associated with most scales of the health-related quality of life. Female migrants’ mental health was significantly related to their health-related quality of life. These findings suggest that migrant women must be educated regarding the importance of mental health by physicians and hygiene authorities in Taiwan. (PsycINFO Database Record (c) 2019 APA, all rights reserved)</t>
  </si>
  <si>
    <t>http://search.ebscohost.com.proxy-ub.rug.nl/login.aspx?direct=true&amp;db=psyh&amp;AN=2013-10482-002&amp;site=ehost-live&amp;scope=site</t>
  </si>
  <si>
    <t>Evaluation of the integrated cognitive model of depression and its specificity in a migrant population.</t>
  </si>
  <si>
    <t>Oei, Tian P. S.; Kwon, Seok-Man</t>
  </si>
  <si>
    <t>Depression and Anxiety</t>
  </si>
  <si>
    <t>2007-05206-005</t>
  </si>
  <si>
    <t>10.1002/da.20225</t>
  </si>
  <si>
    <t>Human Migration; Korean Cultural Groups; Major Depression; Models; Attitudes; Cognitive Processes; Life Changes; Psychological Theories; Adulthood (18 yrs &amp; older); Male; Female</t>
  </si>
  <si>
    <t>This study empirically tested the specificity of the integrated cognitive model (ICM) of depression, which postulates that negative life events interact with dysfunctional attitudes to increase the frequency and severity of automatic thoughts, subsequently affecting depressive symptoms. We also examined the three competing models: the linear mediation model, the alternative etiologies model, and the symptom model. We anticipated that we might examine these models more appropriately using data from a population at an increased risk of developing depressive symptoms. As such, two-wave panel data were obtained from a group of 107 Korean migrants who had been in Australia less than 1 year. Structural equation modeling revealed that the ICM provided an adequate and much better fit than the three competing models. The ICM was also found to support the cognitive specificity theory of depression and anxiety. These findings suggest that dysfunctional attitudes can be a common cognitive moderator of depression and anxiety, whereas automatic thoughts and anxious self-statements can be specific cognitive mediators of anxiety and depression, respectively. (PsycINFO Database Record (c) 2016 APA, all rights reserved)</t>
  </si>
  <si>
    <t>http://search.ebscohost.com.proxy-ub.rug.nl/login.aspx?direct=true&amp;db=psyh&amp;AN=2007-05206-005&amp;site=ehost-live&amp;scope=site</t>
  </si>
  <si>
    <t>Evaluation of the use of audio-enhanced personal digital assistants to survey Latino migrant farmworkers.</t>
  </si>
  <si>
    <t>Kilanowski, Jill F.; Trapl, Erika S.</t>
  </si>
  <si>
    <t>2010-06432-008</t>
  </si>
  <si>
    <t>Agricultural Workers; Computer Peripheral Devices; Data Collection; Surveys; Latinos/Latinas; Adulthood (18 yrs &amp; older); Male; Female</t>
  </si>
  <si>
    <t>We describe the feasibility of audio-enhanced personal digital assistants (ADPAs) for data collection with 60 Latino migrant farmworkers. All participants chose to complete APDA surveys rather than using paper-and-pencil. No one left the study prematurely: two (3%) data cases were lost due to technical difficulties. Across all data .27% missing data were observed: nine missing responses on eight items. Participants took 19 minutes on average to complete the 58-question survey. The factor most influential for completion was education level. APDA methodology enabled both English- and Spanish-speaking Latino migrant farmworkers to become active research participants with minimal loss of data. (PsycINFO Database Record (c) 2016 APA, all rights reserved)</t>
  </si>
  <si>
    <t>http://search.ebscohost.com.proxy-ub.rug.nl/login.aspx?direct=true&amp;db=psyh&amp;AN=2010-06432-008&amp;site=ehost-live&amp;scope=site</t>
  </si>
  <si>
    <t>Evaluation of use of stage of tobacco epidemic to predict post-immigration smoking behaviors.</t>
  </si>
  <si>
    <t>Constantine, Melissa L.; Adejoro, Oluwakayode O.; D'Silva, Joanne; Rockwood, Todd H.; Schillo, Barbara A.</t>
  </si>
  <si>
    <t>Nicotine &amp; Tobacco Research</t>
  </si>
  <si>
    <t>2013-35572-014</t>
  </si>
  <si>
    <t>10.1093/ntr/ntt077</t>
  </si>
  <si>
    <t>Epidemics; Immigration; Social Norms; Tobacco Smoking; Morbidity; Adulthood (18 yrs &amp; older); Male; Female</t>
  </si>
  <si>
    <t>Introduction: This research uses the Lopez stage of tobacco epidemic model to evaluate post-immigration smoking behavior. Stage is a composite measure of tobacco norms of a country: smoking prevalence, cigarette consumption, and tobacco-related morbidity. The Lopez model characterizes the changing relationship between smoking prevalence and tobacco-related mortality and morbidity as a country progresses through the 4 successive stages of the tobacco epidemic. Methods: Survey data from Southeast Asian and Latino immigrants (from stage 1 and stage 2 countries) (n = 2,076) were used to evaluate stage of tobacco epidemic of country of emigration. Stage was compared with standard acculturation measures and community identification measures to understand post-immigration smoking behavior in the United States. Comparative analysis by stage and gender includes bivariate associations and logistic regression models to predict post-immigration smoking behavior. Results: Males: Pre-immigration prevalence and consumption rates of our study sample conform to prevalence and consumption of stage 1 and stage 2 countries predicted by the Lopez model. Post-immigration smoking uptake is equivalent to pre-immigration uptake for stage 1 males. The uptake rate for stage 2 males post-immigration is significantly lower (22.1%) than pre-immigration uptake (41.4%). Stage is a statistically significant predictor of post-immigration smoking uptake (OR = 3.08, CI = 1.82–5.22, p &lt; .01). Females: Stage of country of birth is not significantly predictive of post-migration smoking uptake. Conclusions: The finding of stage to be a strong predictor of post-immigration smoking behavior among males provides a promising measurement tool. Prevalence and consumption of females in our study sample support the need for revisions to the stage model. (PsycINFO Database Record (c) 2017 APA, all rights reserved)</t>
  </si>
  <si>
    <t>http://search.ebscohost.com.proxy-ub.rug.nl/login.aspx?direct=true&amp;db=psyh&amp;AN=2013-35572-014&amp;site=ehost-live&amp;scope=site</t>
  </si>
  <si>
    <t>Examination of acculturation and personality for Asian Indians in the United States.</t>
  </si>
  <si>
    <t>Abrahams, Savita</t>
  </si>
  <si>
    <t>3-A</t>
  </si>
  <si>
    <t>2007-99017-560</t>
  </si>
  <si>
    <t>Acculturation; Personality; South Asian Cultural Groups</t>
  </si>
  <si>
    <t>The purpose of this research was to examine acculturation and personality for Asian Indians in the United States. This study was based on a national random sample of 1,500 Asian Indians in the United States. Ninety-one participants replied to the survey by mail. This research used correlational and explanatory, nonexperimental designs. A demographic questionnaire was used to ensure that participants met the criteria for the study and provided descriptive information for the sample. Acculturation was measured using the Suinn-Lew Asian Self-Identity Acculturation Scale (SL-ASIA). Personality was measured using the Personal Preferences Self-Description Questionnaire (PPSDQ). The results of multiple regression and factorial multivariate analysis of variance (MANOVA) yielded statistical non-significant relationships between acculturation and personality subscales. Acculturation scores were consistent with the sample's composition and represented a complete range of acculturation levels. A majority of the study's participants were first-generation immigrants. Twice as many males comprised the sample as females. Personality scores were restricted in range with an overrepresentation of Intuitive and Judging Myers-Briggs Type Indicator (MBTI) types. Possible reasons for the study's results are discussed. Implications for the counseling profession are included along with recommendations for future research. (PsycINFO Database Record (c) 2016 APA, all rights reserved)</t>
  </si>
  <si>
    <t>http://search.ebscohost.com.proxy-ub.rug.nl/login.aspx?direct=true&amp;db=psyh&amp;AN=2007-99017-560&amp;site=ehost-live&amp;scope=site</t>
  </si>
  <si>
    <t>Examining nervios among immigrant male farmworkers in the MICASA study: Sociodemographics, housing conditions and psychosocial factors.</t>
  </si>
  <si>
    <t>O'Connor, Kathleen; Stoecklin-Marois, Maria; Schenker, Marc B.</t>
  </si>
  <si>
    <t>2015-03352-026</t>
  </si>
  <si>
    <t>10.1007/s10903-013-9859-8</t>
  </si>
  <si>
    <t>Immigration; Migrant Farm Workers; Psychological Stress; Psychosocial Factors; Latinos/Latinas; Mental Health; Risk Factors; Health Disparities; Adulthood (18 yrs &amp; older); Young Adulthood (18-29 yrs); Thirties (30-39 yrs); Middle Age (40-64 yrs); Male</t>
  </si>
  <si>
    <t>Nervios is a culturally defined condition of psychological stress with important implications for Latino health. Using epidemiological research methods, we examined the prevalence of nervios and associated risk factors, including drug and alcohol use, acculturation, and housing conditions in a population-based study of farm worker families in Mendota, CA (the MICASA Study). A household enumeration procedure was used for sampling, and 843 individuals were interviewed in 2006–2007. In this analysis, we present data on 422 men, 381 accompanied (family) males and 41 unaccompanied males. The prevalence of nervios was 22 %, with no difference in prevalence by household status. Low family incomes, drug use, medium/high acculturation, and poor housing conditions were associated with increased odds of nervios. Self-reported poor/fair health, depressive symptoms, and high perceived stress were also associated with nervios. Since nervios has been shown to be a clinical indicator of psychiatric vulnerability among Latinos, this analysis furthers public health goals of reducing health disparities. (PsycINFO Database Record (c) 2017 APA, all rights reserved)</t>
  </si>
  <si>
    <t>http://search.ebscohost.com.proxy-ub.rug.nl/login.aspx?direct=true&amp;db=psyh&amp;AN=2015-03352-026&amp;site=ehost-live&amp;scope=site</t>
  </si>
  <si>
    <t>Examining the measurement of health and its relationship to acculturation for older asian americans.</t>
  </si>
  <si>
    <t>Chan, Keith Tsz-Kit</t>
  </si>
  <si>
    <t>2014-99050-212</t>
  </si>
  <si>
    <t>Cross Cultural Differences; Family Conflict; Immigration; Marginalization; Activities of Daily Living; Age Differences</t>
  </si>
  <si>
    <t>Purpose: According to census estimates, Asians are one of the fastest growing immigrant groups in the US, and the fastest growing group among all elderly. This study examines the impact of acculturation, measured as English ability, along with other predictors on health for older Asian Americans. Data Sources: Data from the 2009 American Community Survey and the National Latino and Asian American Study were used to examine large-scale population characteristics of Asian American elderly. Measures: A broad view of health (physical, mental, Activities of Daily Living (ADLs) and Instrumental Activities of Daily Living (iADLs)) was examined using items capturing functional disability. Psychological health was examined using the Kessler Psychological Distress Scale (K10). Analytical Methods: Confirmatory factor analysis, logistic regression analysis, and path analysis was conducted. Results: CFA suggests scales are reliable for use. Cross-cultural comparability was found for psychological distress, but not for functional disability. Results indicated that English ability predicted lower disability, but had no relationship to psychological distress. Higher levels of intergenerational family conflict increased distress for Asian elders. Perceived discrimination, which represents a form of social marginalization, emerged as a key mediating variable and was consistently associated with poorer mental health. Conclusion: This study provided key insights into the applicability and measurement invariance of two key measures of health for older Asian Americans. While the measures captured health reasonably well, the results suggest confounds for this population, which may be due to perceptions of disability, language, immigration status, social networks, health insurance status, and access to services. Acculturation is a process involving the individual and the family, and can cut across age groups and generations. Policies should emphasize the development of culturally-specific services for Asian American elders. The study highlights that social workers must engage families across generations and the lifespan when working with Asian elders. (PsycINFO Database Record (c) 2016 APA, all rights reserved)</t>
  </si>
  <si>
    <t>http://search.ebscohost.com.proxy-ub.rug.nl/login.aspx?direct=true&amp;db=psyh&amp;AN=2014-99050-212&amp;site=ehost-live&amp;scope=site</t>
  </si>
  <si>
    <t>Expatriates' acculturation strategies: Going beyond 'how adjusted are you?' to 'how do you adjust?'</t>
  </si>
  <si>
    <t>Lineberry, Matthew</t>
  </si>
  <si>
    <t>2013-99141-256</t>
  </si>
  <si>
    <t>Acculturation; Adjustment; Expatriates; Individual Differences; Adulthood (18 yrs &amp; older)</t>
  </si>
  <si>
    <t>Expatriates' degree of adjustment to living and working in a foreign country is well-accepted as an important outcome variable in expatriate management research. However, measures of degree of adjustment do not capture the breadth of strategies expatriates may use to achieve such adjustment, which may be critical for understanding whether expatriates have achieved a healthy and productive orientation to life abroad. Borrowing from research on immigrant populations, this study examines the construct of expatriate acculturation strategies, which characterize expatriates' mode of adjustment along two independent dimensions reflecting maintenance of one's home culture and engagement of the host culture, respectively. One hundred U.S. expatriates were recruited and completed an index of acculturation strategies. In addition, participants completed survey and reaction-time based measures of proposed antecedents, correlates, and outcomes of varying acculturation strategies. Results suggest that expatriates largely pursue either a maintenance-focused or engagement-focused strategy and that acculturation strategies are not redundant with degree of adjustment. Relationships between acculturation strategies and relevant individual differences, characteristics of expatriate positions, and outcomes are discussed. (PsycINFO Database Record (c) 2016 APA, all rights reserved)</t>
  </si>
  <si>
    <t>http://search.ebscohost.com.proxy-ub.rug.nl/login.aspx?direct=true&amp;db=psyh&amp;AN=2013-99141-256&amp;site=ehost-live&amp;scope=site</t>
  </si>
  <si>
    <t>Expectations and real life: Cross-cultural adaptation of Chinese students in China and the Netherlands.</t>
  </si>
  <si>
    <t>van Oudenhoven, Jan Pieter; Long, Jianhua; Yan, Wenhua</t>
  </si>
  <si>
    <t>Intercultural relations in Asia: Migration and work effectiveness.</t>
  </si>
  <si>
    <t>2010-11824-009</t>
  </si>
  <si>
    <t>World Scientific Publishing Co</t>
  </si>
  <si>
    <t>Adjustment; Chinese Cultural Groups; Cross Cultural Differences; Expectations; Students; Human Migration; Adulthood (18 yrs &amp; older); Male; Female</t>
  </si>
  <si>
    <t>Western Europe has known Chinese migrants for over a century. The first generations arrived with little financial resources. Many of them were recruited as sailors, opened their own restaurants or were employed by restaurants. Recently, a new wave of Chinese migrants has come to Western Europe. These new Chinese migrants differ considerably from the earlier generations. A large number of them are students of whom many want to go back to China, others see a good opportunity for a scientific career and want to stay. In this chapter two empirical studies are presented. The first one describes the relation between demographic variables, academic level, intercultural communication self-efficacy (ICS), intercultural competencies, and academic performance, friendships with foreigners and the expected adaptation of a group of Chinese students (N = 1137) in China. The second study examines the relation between the same variables as the first study, but examines real adaptation of Chinese students (N= 168) who stay for a couple of years in the Netherlands. (PsycINFO Database Record (c) 2017 APA, all rights reserved)</t>
  </si>
  <si>
    <t>http://search.ebscohost.com.proxy-ub.rug.nl/login.aspx?direct=true&amp;db=psyh&amp;AN=2010-11824-009&amp;site=ehost-live&amp;scope=site</t>
  </si>
  <si>
    <t>Experiences and perceptions of intimate partner violence among older Chinese immigrants.</t>
  </si>
  <si>
    <t>Shibusawa, Tazuko; Yick, Alice</t>
  </si>
  <si>
    <t>Journal of Elder Abuse &amp; Neglect</t>
  </si>
  <si>
    <t>2007-19953-001</t>
  </si>
  <si>
    <t>10.1300/J084v19n03_01</t>
  </si>
  <si>
    <t>Chinese Cultural Groups; Immigration; Intimate Partner Violence; Physical Abuse; Victimization; Acculturation; Experiences (Events); Human Sex Differences; Adulthood (18 yrs &amp; older); Male; Female</t>
  </si>
  <si>
    <t>This study examines the experiences and perceptions of domestic violence among older Chinese immigrants, using data from a larger sample of Chinese Americans who reside in a major metropolitan area in the West Coast (Yick, 2000). A subset of respondents 50 years and older who are foreign-born (n = 77) were selected to (1) examine older Chinese immigrants' experiences with physical abuse by a spouse, (2) explore the definitions and perceptions of intimate partner violence among older Chinese, and (3) examine the relationship between acculturation, victimization experiences, and perceptions of domestic violence among this population. Findings indicate that close to 7% of the women and 6% of the men have experienced minor physical violence by their spouses during the past 12 months. Gender and acculturation were associated with perceptions and attitudes towards domestic violence. (PsycINFO Database Record (c) 2016 APA, all rights reserved)</t>
  </si>
  <si>
    <t>http://search.ebscohost.com.proxy-ub.rug.nl/login.aspx?direct=true&amp;db=psyh&amp;AN=2007-19953-001&amp;site=ehost-live&amp;scope=site</t>
  </si>
  <si>
    <t>Experiences of discrimination among Chinese American adolescents and the consequences for socioemotional and academic development.</t>
  </si>
  <si>
    <t>Benner, Aprile D.; Kim, Su Yeong</t>
  </si>
  <si>
    <t>2009-19928-016</t>
  </si>
  <si>
    <t>10.1037/a0016119</t>
  </si>
  <si>
    <t>Academic Achievement; Acculturation; Chinese Cultural Groups; Discrimination; Emotional Adjustment; Consequence; Adolescence (13-17 yrs); Male; Female</t>
  </si>
  <si>
    <t>This longitudinal study examined the influences of discrimination on socioemotional adjustment and academic performance for a sample of 444 Chinese American adolescents. Using autoregressive and cross-lagged techniques, the authors found that discrimination in early adolescence predicted depressive symptoms, alienation, school engagement, and grades in middle adolescence but that early socioemotional adjustment and academic performance did not predict later experiences of discrimination. Further, their investigation of whether earlier or contemporaneous experiences of discrimination influenced developmental outcomes in middle adolescence indicated differential effects, with contemporaneous experiences of discrimination affecting socioemotional adjustment, whereas earlier discrimination was more influential for academic performance. Finally, they found a persistent negative effect of acculturation on the link between discrimination and adolescents’ developmental outcomes, such that those adolescents who were more acculturated (in this case, higher in American orientation) experienced more deleterious effects of discrimination on both socioemotional and academic outcomes. (PsycINFO Database Record (c) 2016 APA, all rights reserved)</t>
  </si>
  <si>
    <t>http://search.ebscohost.com.proxy-ub.rug.nl/login.aspx?direct=true&amp;db=psyh&amp;AN=2009-19928-016&amp;site=ehost-live&amp;scope=site</t>
  </si>
  <si>
    <t>Experiences of school nurses caring for newly arrived immigrant and refugee children.</t>
  </si>
  <si>
    <t>Brady, Jacqueline A.</t>
  </si>
  <si>
    <t>2020-31773-102</t>
  </si>
  <si>
    <t>Immigration; Mental Health; Refugees; School Nurses; Academic Writing; Experiences (Events); Physical Health; Trauma; Adulthood (18 yrs &amp; older)</t>
  </si>
  <si>
    <t>The recent influx of newly arrived immigrant and refugee children to the U.S. has resulted in a humanitarian crisis. Faced with significant physical and mental health issues, children often rely on school nurses as their primary source for accessing health care. The purpose of this dissertation was to explore school nurses' lived experiences caring for newly arrived immigrant and refugee children in urban public schools. The study aims were to: describe the meaning of being a school nurse caring for newly arrived children; examine the impact of immigration on children's wellness and educational success; explore facilitators and barriers to health care delivery for newly arrived children; and describe school nurses' self-care needs. The dissertation generated three draft manuscripts. Manuscript One critically reviews the psychometric properties of the Demands of Immigration Scale. Manuscript Two describes the Refugee and Immigrant Youth Core Stressors Model and how school nurses can use the Refugee and Immigrant Core Stressors Toolkit (RICST) to assess the impact of trauma, acculturation, resettlement and isolation on newly arrived children's mental and behavioral health. Manuscript Three presents results of a qualitative phenomenological study of the lived experiences of (n=20) urban public-school nurses' caring for newly arrived children. Findings underscore the critical role of school nurses in caring for newly arrived children, many of whom have had trauma exposures related to immigration. Forming partnerships and forging alliances with families and community providers can help school nurses to promote children's health and safety which in turn impact their educational achievement. (PsycInfo Database Record (c) 2020 APA, all rights reserved)</t>
  </si>
  <si>
    <t>http://search.ebscohost.com.proxy-ub.rug.nl/login.aspx?direct=true&amp;db=psyh&amp;AN=2020-31773-102&amp;site=ehost-live&amp;scope=site</t>
  </si>
  <si>
    <t>Explaining majority members’ acculturation preferences for minority members: A mediation model.</t>
  </si>
  <si>
    <t>López-Rodríguez, Lucía; Zagefka, Hanna; Navas, Marisol; Cuadrado, Isabel</t>
  </si>
  <si>
    <t>2014-08397-001</t>
  </si>
  <si>
    <t>10.1016/j.ijintrel.2013.07.001</t>
  </si>
  <si>
    <t>Acculturation; Immigration; Preferences; Stereotyped Attitudes; Majority Groups; Threat; Adulthood (18 yrs &amp; older); Young Adulthood (18-29 yrs); Thirties (30-39 yrs); Middle Age (40-64 yrs); Aged (65 yrs &amp; older); Male; Female</t>
  </si>
  <si>
    <t>Two studies were conducted to integrate processes described in the literature on acculturation, stereotype content, and intergroup threat. Spanish majority members filled out questionnaires about their views of Moroccan immigrants (Study 1) and Ecuadorian immigrants (Study 2). They reported their perception of the immigrants’ endorsement of culture maintenance and adoption, their preferences for immigrants to maintain the original culture and adopt the host culture, their positive stereotypes about immigrants, and perceptions of threat. Results showed that ‘perceived culture adoption’ had an effect on ‘stereotypes’, which in turn had an effect on ‘perceived threat’, which in turn had an effect on ‘preference for culture maintenance’ (Studies 1 and 2) and ‘preference for culture adoption’ (Study 1). Moreover, results confirmed that there were significant indirect effects of the majority's acculturation perceptions on majority members’ acculturation preferences, yielding further support that ‘stereotypes’ and ‘perceived threat’ are important mediators in the process. Stereotypes and perceived threat were both consequences of majority members’ acculturation perceptions and predictors of majority members’ acculturation preferences. (PsycInfo Database Record (c) 2020 APA, all rights reserved)</t>
  </si>
  <si>
    <t>http://search.ebscohost.com.proxy-ub.rug.nl/login.aspx?direct=true&amp;db=psyh&amp;AN=2014-08397-001&amp;site=ehost-live&amp;scope=site</t>
  </si>
  <si>
    <t>Exploring adaptive acculturation approaches among undocumented Latinos: A test of Berry’s model.</t>
  </si>
  <si>
    <t>Meca, Alan; Cobb, Cory; Xie, Dong; Schwartz, Seth J.; Allen, Catherine; Hunter, Robyn</t>
  </si>
  <si>
    <t>The Counseling Psychologist</t>
  </si>
  <si>
    <t>2018-03678-004</t>
  </si>
  <si>
    <t>10.1177/0011000017745978</t>
  </si>
  <si>
    <t>Acculturation; Emotional Adjustment; Immigration; Theories; Latinos/Latinas; Ethnic Identity; Life Satisfaction; Multiculturalism; Adulthood (18 yrs &amp; older); Young Adulthood (18-29 yrs); Thirties (30-39 yrs); Middle Age (40-64 yrs); Male; Female</t>
  </si>
  <si>
    <t>In the current study, we sought to (a) determine the extent to which the categories proposed within Berry’s acculturation typologies model could be empirically derived among a sample of undocumented Latino immigrants, and (b) explore which approaches would be associated with the most positive psychological functioning. A community sample of 140 self-reported undocumented Latino immigrants completed questionnaires measuring national and ethnic identity, perceived discrimination, life satisfaction, and flourishing. Latent class analysis extracted three of Berry’s acculturation approaches (separation, integration/biculturalism, and marginalization). Pairwise comparisons indicated that the bicultural approach was the most adaptive, followed by the separated approach. In addition to validating Berry’s acculturation model among undocumented Latino immigrants, the current study taps into psychology’s commitment to social justice and diversity by extending the literature on the acculturation approaches that may be most beneficial for this highly neglected population. Theoretical and practical implications are discussed. (PsycInfo Database Record (c) 2020 APA, all rights reserved)</t>
  </si>
  <si>
    <t>http://search.ebscohost.com.proxy-ub.rug.nl/login.aspx?direct=true&amp;db=psyh&amp;AN=2018-03678-004&amp;site=ehost-live&amp;scope=site</t>
  </si>
  <si>
    <t>Exploring attachment to the 'Homeland' and its association with heritage culture identification.</t>
  </si>
  <si>
    <t>Ferenczi, Nelli; Marshall, Tara C.</t>
  </si>
  <si>
    <t>2013-06818-001</t>
  </si>
  <si>
    <t>10.1371/journal.pone.0053872</t>
  </si>
  <si>
    <t>Acculturation; Attachment Behavior; Immigration; Nationalism; Social Identity; Attachment Theory; Adulthood (18 yrs &amp; older); Young Adulthood (18-29 yrs); Thirties (30-39 yrs); Middle Age (40-64 yrs); Aged (65 yrs &amp; older); Male; Female</t>
  </si>
  <si>
    <t>Conceptualisations of attachment to one’s nation of origin reflecting a symbolic caregiver can be found cross-culturally in literature, art, and language. Despite its prevalence, the relationship with one’s nation has not been investigated empirically in terms of an attachment theory framework. Two studies employed an attachment theory approach to investigate the construct validity of symbolic attachment to one’s nation of origin, and its association with acculturation (operationalized as heritage and mainstream culture identification). Results for Study 1 indicated a three-factor structure of nation attachment; the factors were labelled secure-preoccupied, fearful, and dismissive nation attachment. Hierarchical linear modelling was employed to control for differing cultures across participants. Secure-preoccupied nation attachment was a significant predictor of increased heritage culture identification for participants residing in their country of birth, whilst dismissive nation attachment was a significant predictor of decreased heritage culture identification for international migrants. Secure-preoccupied nation attachment was also associated with higher levels of subjective-wellbeing. Study 2 further confirmed the validity of the nation attachment construct through confirmatory factor analysis; the three-factor model adequately fit the data. Similar to the results of Study 1, secure-preoccupied nation attachment was associated with increased levels of heritage culture identification and psychological well-being. Implications of the tripartite model of nation attachment for identity and well-being will be discussed. (PsycINFO Database Record (c) 2016 APA, all rights reserved)</t>
  </si>
  <si>
    <t>http://search.ebscohost.com.proxy-ub.rug.nl/login.aspx?direct=true&amp;db=psyh&amp;AN=2013-06818-001&amp;site=ehost-live&amp;scope=site</t>
  </si>
  <si>
    <t>Exploring dual identification among Muslim-American emerging adults: A mixed methods study.</t>
  </si>
  <si>
    <t>Sirina, Selcuk R.; Bikmen, Nida; Mir, Madeeha; Fine, Michelle; Zaal, Mayida; Katsiaficas, Dalal</t>
  </si>
  <si>
    <t>2008-05100-008</t>
  </si>
  <si>
    <t>10.1016/j.adolescence.2007.10.009</t>
  </si>
  <si>
    <t>Adult Attitudes; Immigration; Muslims; Religion; Muslim Americans; Adulthood (18 yrs &amp; older); Young Adulthood (18-29 yrs); Male; Female</t>
  </si>
  <si>
    <t>This mixed methods study explored dual identification among Muslim-American emerging adults of immigrant origin. A closer look was taken at the relationship between American and Muslim identifications and how this relationship was influenced by experiences of discrimination, acculturative and religious practices, and whether it varied by gender. Data were gathered from 97 Muslim Americans (ages 18-25) who completed a survey and produced identity maps, a pictorial representation of hyphenated identities. The findings showed that young people found a way of allowing their Muslim and American identities to co-exist, and only a small minority of the participants seemed to experience identity conflict. While religiosity was the only predictor of Muslim identification, young peoples' identification with mainstream United States culture was predicted by discrimination-related stress and acculturative practices. Gender moderated the relationship between Muslim and American identities in both survey measures and identity maps. (PsycINFO Database Record (c) 2017 APA, all rights reserved)</t>
  </si>
  <si>
    <t>http://search.ebscohost.com.proxy-ub.rug.nl/login.aspx?direct=true&amp;db=psyh&amp;AN=2008-05100-008&amp;site=ehost-live&amp;scope=site</t>
  </si>
  <si>
    <t>Exploring immigrant farming programs and social capital: A mixed method approach to program evaluation.</t>
  </si>
  <si>
    <t>Hightower, Lisa Sarah</t>
  </si>
  <si>
    <t>2016-16228-102</t>
  </si>
  <si>
    <t>Immigration; Program Evaluation; Social Capital; Adulthood (18 yrs &amp; older)</t>
  </si>
  <si>
    <t>African immigrants in the United States (U.S.) experience immense challenges in the form of poverty, unemployment, and underemployment. One strategy used by community development organizations to address these challenges is the development of farm entry programs that assist immigrants in beginning and sustaining farm operations in the United States. Organizations such as Cooperative Extension, resettlement agencies, and African mutual aid associations have developed beginning farmer programs that provide a supportive foundation for immigrant farmers to gain access to farmland, technical training, and markets. Returning to farming provides African immigrants with a series of benefits including supplemental income, food security, and social integration. Drawing upon social capital theory, this study offers a novel approach to measure the community and economic development outcomes of immigrant farming programs. In this mixed-method program evaluation, immigrant farming programs are analyzed as social networks that connect immigrants to technical training, farming resources, and community members who can provide access to markets. Data were collected through a survey of 112 agricultural educators working with immigrant farming programs across the United States. Data were also collected through case studies of a Midwestern program and a Southern program. The case studies include two focus groups and 20 interviews with individuals associated with the programs as participants, agricultural educators, and community partners. Regression tests were conducted to determine the social capital factors associated with well-being outcomes occurring through the programs. The models show that interaction outside of the program, and access to information are positively associated with well-being outcomes. Analysis of variance tests show differences between programs with African immigrant participants and programs with participants from other world regions. Programs with African immigrants tend to have more requirements to use farming resources compared to programs with immigrants from other world regions. Qualitative analysis found that female African immigrant participants have a lower levels of agency compared to male African immigrant participants. The study concludes with a discussion of recommendations for implementing and evaluating immigrant farming programs, as well as applying social capital theory to the field of agricultural education. (PsycINFO Database Record (c) 2016 APA, all rights reserved)</t>
  </si>
  <si>
    <t>http://search.ebscohost.com.proxy-ub.rug.nl/login.aspx?direct=true&amp;db=psyh&amp;AN=2016-16228-102&amp;site=ehost-live&amp;scope=site</t>
  </si>
  <si>
    <t>Exploring relationships among social integration, social isolation, self-rated health, and demographics among Latino day laborers.</t>
  </si>
  <si>
    <t>Steel, Kenneth C.; Fernandez-Esquer, Maria Eugenia; Atkinson, John S.; Taylor, Wendell C.</t>
  </si>
  <si>
    <t>2018-10611-006</t>
  </si>
  <si>
    <t>10.1080/13557858.2017.1280130</t>
  </si>
  <si>
    <t>Demographic Characteristics; Health; Nonprofessional Personnel; Social Isolation; Social Support; Human Males; Migrant Farm Workers; Latinos/Latinas; Adulthood (18 yrs &amp; older); Male</t>
  </si>
  <si>
    <t>Objectives. Research indicates social integration and social isolation are related to health, and Latino day laborers (LDLs) tend to be socially isolated and, thus, at high risk for adverse health consequences. relationships among social isolation, social integration, self-rated health (SRH), and demographics were examined in a sample of LDLs to contribute to the literature on social networks and health in this and other migrant populations. Design. We analyzed data from 324 LDLs who participated in Proyecto SHILOS (Salud del Hombre Inmigrante Latino), a Houston-based survey of Latino immigrant men’s health. Based on the literature, we hypothesized SRH would be (1) positively associated with social integration and (2) negatively associated with social isolation. All proposed measures were first entered into a correlation matrix to identify significant bivariate relationships (p ≤ .05, two-tailed). Associations between variables that were directly correlated with SRH and variables that were, in turn, proximally associated with these variables were then used to develop a structural equation path model of SRH. Individual paths in the model were measured for significance, and goodness of fit was assessed by the model chi-square, the Comparative Fit Index, and the Root Mean Square Error of Approximation. Results. Inconsistent with the first hypothesis, SRH was negatively associated with social integration, as measured by the number of trusted friends. Consistent with the second hypothesis, SRH was negatively associated with social isolation, as measured by needing someone to talk to. More frequent contact with family was also negatively associated with social isolation. Discussion. Our findings suggest social integration may not always protect and promote health. Therefore, assessing the quality of LDLs’ different relationships, not just the quantity, is vital. Future studies should further analyze the effects that social resources have on perceptions of social isolation and health in LDLs and other migrant populations. (PsycINFO Database Record (c) 2019 APA, all rights reserved)</t>
  </si>
  <si>
    <t>http://search.ebscohost.com.proxy-ub.rug.nl/login.aspx?direct=true&amp;db=psyh&amp;AN=2018-10611-006&amp;site=ehost-live&amp;scope=site</t>
  </si>
  <si>
    <t>Exploring the factors contributing to empowerment of Turkish migrant women in the UK.</t>
  </si>
  <si>
    <t>Cakir, S. Gulfem; Guneri, Oya Yerin</t>
  </si>
  <si>
    <t>2011-12637-005</t>
  </si>
  <si>
    <t>10.1080/00207594.2010.532800</t>
  </si>
  <si>
    <t>Acculturation; Demographic Characteristics; Distress; Empowerment; Social Support; Discrimination; Human Females; Human Migration; Adulthood (18 yrs &amp; older); Young Adulthood (18-29 yrs); Thirties (30-39 yrs); Middle Age (40-64 yrs); Female</t>
  </si>
  <si>
    <t>This study examined the role of demographic factors (length of stay, education and language level), perceived discrimination, social support, four acculturation attitudes, and psychological distress in predicting empowerment among Turkish migrant women in the UK. The study sample comprised 248 Turkish migrant women (mean age: 34.38; SD: 7.6) living in London. Self-report questionnaires were used to assess empowerment, social support, acculturation attitude and psychological distress. The study hypothesized that perceived discrimination; acculturation attitudes of separation, assimilation and marginalization; and psychological distress would be negative predictors of empowerment and that social support and an integration acculturation attitude would be positive predictors of empowerment. To some extent, the study findings supported this hypothesis. Hierarchical regression analysis indicated psychological distress to be the most significant predictor of empowerment, with other significant predictors including level of education and social support. More specifically, lower levels of psychological distress and higher levels of education and social support appeared to predict greater empowerment. Based on these findings, it can be concluded that level of education and social support may function as protective factors and that psychological distress may function as a risk factor for empowerment in the migration context. The paper discusses the findings of this study in relation to the previous literature and notes their implications for future research and practice. (PsycINFO Database Record (c) 2020 APA, all rights reserved)</t>
  </si>
  <si>
    <t>http://search.ebscohost.com.proxy-ub.rug.nl/login.aspx?direct=true&amp;db=psyh&amp;AN=2011-12637-005&amp;site=ehost-live&amp;scope=site</t>
  </si>
  <si>
    <t>Exploring the relationship between acculturation and smoking behavior within four Southeast Asian communities of Minnesota.</t>
  </si>
  <si>
    <t>Constantine, Melissa L.; Rockwood, Todd H.; Schillo, Barbara A.; Alesci, Nina; Foldes, Steven S.; Phan, Tam; Chhith, Yanat; Saul, Jessie E.</t>
  </si>
  <si>
    <t>2010-19382-004</t>
  </si>
  <si>
    <t>10.1093/ntr/ntq070</t>
  </si>
  <si>
    <t>Acculturation; Epidemiology; Southeast Asian Cultural Groups; Tobacco Smoking; Communities; Adulthood (18 yrs &amp; older); Young Adulthood (18-29 yrs); Thirties (30-39 yrs); Middle Age (40-64 yrs); Aged (65 yrs &amp; older); Male; Female</t>
  </si>
  <si>
    <t>Objectives: This study sought to measure the prevalence of smoking among the Hmong, Vietnamese, Lao, and Cambodian communities of Minnesota and explore the relationship between smoking and acculturation within these communities. Methods: A community-based participatory research framework was used through all phases of this study. Standard as well as community-developed measures of acculturation were used. Data were obtained by face-to-face and telephone interviews with 1,628 respondents from July 2006 to March 2007. Results: Vietnamese and Cambodian men smoke at higher rates than men in the U.S. general population (35% and 58% compared with 20%, respectively). Most men across the Vietnamese, Cambodian, and Lao populations started smoking prior to immigration to the United States, although most former smokers quit smoking after immigration to the United States. Most male Hmong respondents started smoking after immigration. Education was predictive of smoking status across genders, with less education associated with greater odds of being a smoker. Logistic regression found some acculturation measures to be predictive of smoking status across both genders: Less acculturated male respondents and more acculturated female respondents are more likely to be smokers. Discussion: Results of this study suggest that the role of acculturation in tobacco use may not be straightforward as has been presented previously. Other factors, such as social norms and cultural or linguistic isolation, may also be playing a role in tobacco use patterns and may play different roles for different subgroups. Further research is needed within each population and subgroups within those populations to understand these relationships and how they affect smoking behavior. (PsycINFO Database Record (c) 2016 APA, all rights reserved)</t>
  </si>
  <si>
    <t>http://search.ebscohost.com.proxy-ub.rug.nl/login.aspx?direct=true&amp;db=psyh&amp;AN=2010-19382-004&amp;site=ehost-live&amp;scope=site</t>
  </si>
  <si>
    <t>Exploring the training and experiences of school-based mental health professionals who work with Latino immigrant youth.</t>
  </si>
  <si>
    <t>Baazova Fields, Anna</t>
  </si>
  <si>
    <t>9-B(E)</t>
  </si>
  <si>
    <t>2017-29365-260</t>
  </si>
  <si>
    <t>Life Experiences; Mental Health Personnel; Training; Latinos/Latinas; Adulthood (18 yrs &amp; older)</t>
  </si>
  <si>
    <t>Within the California K-12 education setting, Latino students make up 53% of the child population, totaling over 3.3.million students (California Department of Education, 2016). Many of these Latino immigrant youth face challenges, including living in poverty, exposure to violence, and acculturation stress, all of which lead to a need for mental health services. However, the literature has shown that 76.9% of Latino immigrant youth who have a mental health need received no services (Toppelberg, Hollinshead, Collins, &amp; Nieto-Castanon, 2013). The K-12 public school setting is responsible for providing the majority of mental health services to Latino immigrant students who do gain access to services (Langley, DeCarlo Santiago, Rodriguez, &amp; Zelaya, 2013). Latino immigrant youth accessing needed mental health services in the school setting in turn highlights the vital role of mental health providers who offer these services to students in K-12 public schools. Utilizing a qualitative multiple case study design, the researcher collected data using a basic demographic questionnaire and in-depth interviews with 6 school-based mental health professionals in 5 different Southern California K-12 public school districts. Guided by the theory of cultural competence, the researcher gathered data about personal experiences, training and professional development, and personal needs when working to support Latino immigrant youth in participants' schools. The current study revealed four major findings. First, mental health professionals stressed the importance of collaboration among all stakeholders---including school staff, community agencies, and students' families---as a key component of providing necessary and effective services to Latino immigrant youth. Second, mental health professionals identified two-way language barriers with Latino immigrant youth and their families as a major struggle. Third, cultural competency and empathy toward the unique cultural identity of Latino immigrant youth and their families was identified as a significant tool when supporting the mental health of Latino immigrant youth. Fourth, mental health professionals asserted that in their role as therapists of Latino immigrant youth, they require additional training and professional development that incorporates education about cultural assimilation and migration. (PsycINFO Database Record (c) 2017 APA, all rights reserved)</t>
  </si>
  <si>
    <t>http://search.ebscohost.com.proxy-ub.rug.nl/login.aspx?direct=true&amp;db=psyh&amp;AN=2017-29365-260&amp;site=ehost-live&amp;scope=site</t>
  </si>
  <si>
    <t>Exposure to American culture is associated with premenstrual dysphoric disorder among ethnic minority women.</t>
  </si>
  <si>
    <t>Pilver, Corey E.; Kasl, Stanislav; Desai, Rani; Levy, Becca R.</t>
  </si>
  <si>
    <t>Journal of Affective Disorders</t>
  </si>
  <si>
    <t>2011-08166-047</t>
  </si>
  <si>
    <t>10.1016/j.jad.2010.10.013</t>
  </si>
  <si>
    <t>Acculturation; Premenstrual Dysphoric Disorder; Racial and Ethnic Differences; At Risk Populations; Human Females; Minority Groups; Adulthood (18 yrs &amp; older); Female</t>
  </si>
  <si>
    <t>Background: Ethnic minorities in America will achieve majority by 2042, and due to their younger age distribution, will represent the largest proportion of women at risk for premenstrual dysphoric disorder (PMDD). Research has not addressed ethnic minority women's vulnerabilities to PMDD. The objective of this study was to examine the relationship between acculturation and PMDD. Methods: An analysis of acculturation and PMDD among 3856 English-speaking, pre-menopausal Asian, Latina, and Black women from the National Latino and Asian American Survey and the National Survey of American Life was performed. Results: The lifetime prevalence of PMDD was 3.3%. Nativity status, duration of residence, and age at immigration were significantly associated with PMDD. Foreign-born women (OR = 0.38; 95% confidence interval (CI = 0.21–0.68) and immigrants arriving to the US after age six (OR = 0.33, 95% CI = 0.18, 0.62) were less likely to have PMDD, compared to US-born women, and US-born women/immigrants who arrived before age six, respectively. The likelihood of PMDD increased as the duration of residence in the US lengthened. Limitations: The diagnosis of PMDD was provisional due to retrospective symptom reporting. Statements of causality could not be made because the study was cross-sectional. Conclusions: A substantial percentage of ethnic minority women suffer from PMDD in their lifetimes. Exposure to American culture appeared to elevate ethnic minority women's likelihood for PMDD. The stressors that are associated with ethnic minority life in America—discrimination, poverty, pressures to assimilate, etc.—may contribute to ethnic minority women's vulnerability to PMDD, and clinicians should be sensitive to the special risks in this population. (PsycINFO Database Record (c) 2016 APA, all rights reserved)</t>
  </si>
  <si>
    <t>http://search.ebscohost.com.proxy-ub.rug.nl/login.aspx?direct=true&amp;db=psyh&amp;AN=2011-08166-047&amp;site=ehost-live&amp;scope=site</t>
  </si>
  <si>
    <t>Externalizing behaviors in multicultural children of immigrant mothers: A mediation model.</t>
  </si>
  <si>
    <t>Cho, Yoonju</t>
  </si>
  <si>
    <t>Journal of Family Issues</t>
  </si>
  <si>
    <t>2017-15381-002</t>
  </si>
  <si>
    <t>10.1177/0192513X15592028</t>
  </si>
  <si>
    <t>Acculturation; Behavior Problems; Externalization; Immigration; Stress; Elementary School Students; High School Students; Middle School Students; Mothers; Childhood (birth-12 yrs); School Age (6-12 yrs); Adolescence (13-17 yrs); Adulthood (18 yrs &amp; older); Young Adulthood (18-29 yrs); Male; Female</t>
  </si>
  <si>
    <t>Children and adolescents from multicultural families with an immigrant mother tend to experience stress due to problems with cross-cultural adaptation in South Korea, which has a homogeneous cultural identity. This study explored the impact of acculturative stress on externalizing behavior problems (e.g., aggressiveness and delinquency) among 121 elementary, middle, and high school students in Gyeonggi. It analyzed the mediating effects of acculturative stress on externalizing behaviors using structural equation modeling with bootstrapping method. The results showed that stress experienced in relation to cultural adaptation indirectly affected externalizing behaviors through school maladaptation. This indicates that while acculturative stress itself does not directly affect the externalizing behaviors of children and adolescents with immigrant mothers, it does appear to increase the difficulty of adjusting to the school environment, and as the maladaptation worsens, externalizing behaviors may subsequently develop. Schools must function as a protective environment against externalizing behavior problems associated with acculturative stress. (PsycINFO Database Record (c) 2019 APA, all rights reserved)</t>
  </si>
  <si>
    <t>http://search.ebscohost.com.proxy-ub.rug.nl/login.aspx?direct=true&amp;db=psyh&amp;AN=2017-15381-002&amp;site=ehost-live&amp;scope=site</t>
  </si>
  <si>
    <t>Facilitating adaptation and intercultural contact: The role of integration and multicultural ideology in dominant and non-dominant groups.</t>
  </si>
  <si>
    <t>Hui, Bryant Pui Hung; Chen, Sylvia Xiaohua; Leung, Cynthia Man; Berry, John W.</t>
  </si>
  <si>
    <t>2015-10026-008</t>
  </si>
  <si>
    <t>10.1016/j.ijintrel.2015.01.002</t>
  </si>
  <si>
    <t>Acculturation; Cross Cultural Communication; Immigration; Racial and Ethnic Relations; Multiculturalism; Adjustment; Communities; Dominance; Expectations; Minority Groups; Society; Ideology; Majority Groups; Adulthood (18 yrs &amp; older); Young Adulthood (18-29 yrs); Thirties (30-39 yrs); Middle Age (40-64 yrs); Aged (65 yrs &amp; older); Male; Female</t>
  </si>
  <si>
    <t>Research on acculturation has documented that adaptation to a receiving society is affected by both the immigrants’ acculturation strategies and the dominant group's expectations about how immigrants should acculturate. However, the acculturation expectations have received relatively less attention from researchers, and support for multiculturalism has rarely been examined from the perspective of immigrants. The present study used the framework of the Mutual Intercultural Relations in Plural Societies (MIRIPS) project to investigate the acculturation experiences and intercultural relations in Hong Kong by incorporating mutual views of both the dominant and non-dominant groups. It also tested the mediating role of the dominant group's tolerance towards different cultural groups and the non-dominant group's perceived discrimination. Two community samples were recruited, including Hong Kong residents (N = 181) and immigrants from Mainland China (N = 182). Among Mainland immigrants, the integration strategy predicted both psychological adaptation and sociocultural adaptation. Multicultural ideology predicted psychological adaptation and played a significant role in intercultural contact with Hong Kong people through the mediation of lower perceived discrimination. Among Hong Kong residents, the integration expectation predicted psychological adaptation. Multicultural ideology indirectly affected intercultural contact with Mainland immigrants through the mediation of greater tolerance. These results suggest that the integration strategy and expectation are more important to intrapersonal functioning, whereas multicultural ideology may be more crucial in facilitating social interactions between members of the society of settlement and immigrants in culturally plural milieus. Future research should test the proposed models of dominant and non-dominant groups in other cultures. (PsycINFO Database Record (c) 2016 APA, all rights reserved)</t>
  </si>
  <si>
    <t>http://search.ebscohost.com.proxy-ub.rug.nl/login.aspx?direct=true&amp;db=psyh&amp;AN=2015-10026-008&amp;site=ehost-live&amp;scope=site</t>
  </si>
  <si>
    <t>Facing the glass wall: The effects of perceived characteristics of career boundaries on immigrant professional identity salience and career outcomes.</t>
  </si>
  <si>
    <t>Yanar, Basak</t>
  </si>
  <si>
    <t>6-A</t>
  </si>
  <si>
    <t>2012-99230-118</t>
  </si>
  <si>
    <t>Immigration; Occupations; Professional Identity; Adulthood (18 yrs &amp; older)</t>
  </si>
  <si>
    <t>The present study examines the effects of characteristics of perceived career boundaries (permeability, stability, legitimacy) on immigrant professionals’ subjective career outcomes in a longitudinal design. Based on social identity theory framework, I propose a model that examines how immigrant professionals’ perceptions of career boundaries influence two important areas for establishing a satisfying career and successful social integration in Canada: (1) perceptions of career-based success (career satisfaction and career anxiety) and (2) subjective well-being (life satisfaction and regret for immigrating to Canada). I further propose that perceptions of career boundaries act on subjective career outcomes through the quality of employment individuals obtained and the salience of immigrant professional identity. Perceived characteristics were assessed (N = 227) at Time 1, and measures of subjective career outcomes, employment quality, and immigrant professional identity salience were obtained (N = 101) at Time 2, six months later. In addition to the survey study, 12 immigrant professionals were interviewed for an in-depth understanding of the career experiences of immigrant professionals and immigrant professional identity salience. The longitudinal design of the study provides support for the temporal dimension of perceived characteristics; immigrant professionals’ initial perceptions about the career boundaries still predicted their beliefs about career-based success and subjective well-being six months later. Also, the findings provided some support for the mediating effects of employment quality and immigrant professional identity salience on the relationship between perceived characteristics and subjective career outcomes. This study sheds light on the relationship between the perceptions formed by immigrant professionals of the obstacles that they face in integrating into their new labour market, the employment decisions they take, and the impact this has on their sense of career and life well-being. It also reveals the way in which subjects invoke the intersectional identity of 'immigrant professional' as a result of their experiences, and of the effect that this has on them. The findings can inform the practice of the various parties assisting the integration of immigrant professionals into the workforce, an ever-growing and not well-understood group of workers that populate many of today’s workplaces. (PsycINFO Database Record (c) 2016 APA, all rights reserved)</t>
  </si>
  <si>
    <t>http://search.ebscohost.com.proxy-ub.rug.nl/login.aspx?direct=true&amp;db=psyh&amp;AN=2012-99230-118&amp;site=ehost-live&amp;scope=site</t>
  </si>
  <si>
    <t>Factorial invariance, scale reliability, and construct validity of the job control and job demands scales for immigrant workers: The Multi-Ethnic Study of Atherosclerosis.</t>
  </si>
  <si>
    <t>Fujishiro, Kaori; Landsbergis, Paul A.; Diez-Roux, Ana V.; Stukovsky, Karen Hinckley; Shrager, Sandi; Baron, Sherry</t>
  </si>
  <si>
    <t>2011-09638-016</t>
  </si>
  <si>
    <t>10.1007/s10903-010-9364-2</t>
  </si>
  <si>
    <t>Employee Attitudes; Immigration; Job Characteristics; Psychometrics; Test Reliability; Construct Validity; Test Validity; Adulthood (18 yrs &amp; older); Middle Age (40-64 yrs); Aged (65 yrs &amp; older); Male; Female</t>
  </si>
  <si>
    <t>Immigrants have a different social context from those who stay in their home country or those who were born to the country that immigrants now live. Cultural theory of risk perception suggests that social context influences one’s interpretation of questionnaire items. We examined psychometric properties of job control and job demand scales with US- and foreign-born workers who preferred English, Spanish, or Chinese (n = 3,114, mean age = 58.1). Across all groups, the job control scale had acceptable Cronbach’s alpha (0.78–0.83) and equivalent factor loadings (ΔCFI &lt; 0.01). Immigrants had low alpha (0.42–0.65) for the job demands scale regardless of language, education, or age of migration. Two job-demand items had different factor loadings across groups. Among immigrants, both scales had inconsistent associations with perceived job stress and self-rated health. For a better understanding of immigrants’ job stress, the concept of job demands should be expanded and immigrants’ expectations for job control explored. (PsycINFO Database Record (c) 2019 APA, all rights reserved)</t>
  </si>
  <si>
    <t>http://search.ebscohost.com.proxy-ub.rug.nl/login.aspx?direct=true&amp;db=psyh&amp;AN=2011-09638-016&amp;site=ehost-live&amp;scope=site</t>
  </si>
  <si>
    <t>Factors affecting intention to access psychological services amongst British Muslims of South Asian origin.</t>
  </si>
  <si>
    <t>Pilkington, Aneela; Msetfi, Rachel Maria; Watson, Ruth</t>
  </si>
  <si>
    <t>2012-01612-001</t>
  </si>
  <si>
    <t>10.1080/13674676.2010.545947</t>
  </si>
  <si>
    <t>Health Care Utilization; Mental Health Services; Muslims; South Asian Cultural Groups; Adulthood (18 yrs &amp; older); Male; Female</t>
  </si>
  <si>
    <t>The aim of this study was to examine factors that affect intention to access psychological services in a sample of British Muslims of South Asian origin. It was hypothesised that the level of shame/izzat associated with mental health would predict intention to access services when controlling for other, more established, predictors. Ninety-four participants were recruited from community UK centres and online sources. Results indicated that shame/izzat and biological beliefs predicted lesser intent to access psychological services, whereas higher levels of acculturation and education predicted greater intention. Further analyses suggested differences between people that had migrated to Britain and those born in the United Kingdom. Higher education levels predicted greater intention for all participants. However, shame/izzat and duration of habitation in Britain were significant predictors for migrant participants, whereas acculturation predicted intent for those that were born in the country. Clinical implications and suggestions for future research are discussed. (PsycINFO Database Record (c) 2016 APA, all rights reserved)</t>
  </si>
  <si>
    <t>http://search.ebscohost.com.proxy-ub.rug.nl/login.aspx?direct=true&amp;db=psyh&amp;AN=2012-01612-001&amp;site=ehost-live&amp;scope=site</t>
  </si>
  <si>
    <t>Factors affecting job satisfaction of immigrant Korean nurses.</t>
  </si>
  <si>
    <t>An, Ji-Young; Cha, Sunkyung; Moon, Hyunjung; Ruggiero, Jeanne S.; Jang, Haeran</t>
  </si>
  <si>
    <t>2016-07771-006</t>
  </si>
  <si>
    <t>10.1177/1043659614539175</t>
  </si>
  <si>
    <t>Immigration; Job Satisfaction; Life Satisfaction; Nurses; Adulthood (18 yrs &amp; older); Male; Female</t>
  </si>
  <si>
    <t>Purpose: An increasing number of foreign-born nurses are working in the United States. Nurses' job satisfaction is a critical issue for quality patient care. The purpose of this study was to examine factors affecting the job satisfaction of immigrant Korean nurses. Design: We used a cross-sectional mailed survey design. A convenience sample (n = 105) of members of the Greater New York Korean Nurses Association currently working or had previously worked in the United States completed the questionnaires. We used hierarchical regression to test the effects of acculturation and life satisfaction on job satisfaction. Results: Most participants were female (n = 98, 93.3%) aged 27 to 70 years (mean = 52.27 years, SD = 10.67). In the regression model, life satisfaction, self-esteem, and perceived stress predicted job satisfaction (F = 5.127, p &lt; .001) and explained 44.5% of the variance of job satisfaction. Discussion and Conclusion: U.S. nurses need to gain insight into factors influencing job satisfaction in Korean nurses to promote retention and quality care. (PsycINFO Database Record (c) 2017 APA, all rights reserved)</t>
  </si>
  <si>
    <t>http://search.ebscohost.com.proxy-ub.rug.nl/login.aspx?direct=true&amp;db=psyh&amp;AN=2016-07771-006&amp;site=ehost-live&amp;scope=site</t>
  </si>
  <si>
    <t>Factors associated with a psychology or criminology career choice for hispanics and latinos.</t>
  </si>
  <si>
    <t>Plascencia, Maria</t>
  </si>
  <si>
    <t>2015-99150-256</t>
  </si>
  <si>
    <t>Criminology; Distress; Empathy; Internal External Locus of Control; Occupational Choice; Latinos/Latinas; Adulthood (18 yrs &amp; older)</t>
  </si>
  <si>
    <t>The purpose of this study was to explore specific factors associated with Psychology and Criminology career choices for Hispanic and Latino students including: acculturation, psychological distress/family dysfunction, gender, empathy/listening skills, and locus of control. The present study had three sub-hypotheses. The first proposed that participant's who had experienced negative psychological distress/family dysfunction, were more likely to major in Psychology than Criminology. The second sub-hypothesis proposed that Latino men were more likely to choose Criminology, whereas Latino women were more likely to choose psychology due to their increased ability to demonstrate empathy and listening skills. The third sub-hypothesis proposed that participants with an internal locus of control were more likely to enter a psychology degree than a criminology degree. The recruitment included a total of 228 participants. Fifty-five percent of participants were recruited from the Psychology Department at the state university, and the remaining participants were recruited from several programs that support Hispanic and Latino students and/or migrant students. Participants were asked to complete a Demographic Questionnaire, the Bidimensional Acculturation Scale for Hispanics (BAS), the Kessler Psychological Distress Scale (K10), the Multi-Dimensional Emotional Empathy Scale, and the Locus of Control Scale. A logistic regression analysis revealed that acculturation and empathy were best predictors of predictive of major choices. Overall, bicultural students are 4.4 times more likely than acculturated students to be Criminology majors. Furthermore, lower empathy scores are significantly associated with a criminology career choice over psychology. For each one unit decrease in empathy score, the likelihood of choosing Criminology major is 5.37 times higher than choosing a Psychology major. Psychological/family distress, gender, and locus of control were hypothesized to be predictors of career choice, but did not significantly contribute to the logistic regression model. (PsycINFO Database Record (c) 2016 APA, all rights reserved)</t>
  </si>
  <si>
    <t>http://search.ebscohost.com.proxy-ub.rug.nl/login.aspx?direct=true&amp;db=psyh&amp;AN=2015-99150-256&amp;site=ehost-live&amp;scope=site</t>
  </si>
  <si>
    <t>Factors associated with depression among Mexican Americans living in U.S.–Mexico border and non-border areas.</t>
  </si>
  <si>
    <t>Vaeth, Patrice A. C.; Caetano, Raul; Mills, Britain A.</t>
  </si>
  <si>
    <t>2016-29748-002</t>
  </si>
  <si>
    <t>10.1007/s10903-015-0236-7</t>
  </si>
  <si>
    <t>Major Depression; Mexican Americans; Collective Behavior; Drinking Behavior; Health; Human Sex Differences; Neighborhoods; Self-Efficacy; Adulthood (18 yrs &amp; older); Male; Female</t>
  </si>
  <si>
    <t>Factors associated with CES-D depression among Mexican Americans living on and off the U.S.–Mexico border are examined. Data are from two studies of Mexican American adults. The Border Survey conducted face-to-face interviews in urban U.S.–Mexico border counties of California, Arizona, New Mexico, and Texas (N = 1307). The non-border HABLAS survey conducted face-to-face interviews in Houston, Los Angeles, New York, Philadelphia, and Miami (N = 1288). Both surveys used a multistage cluster sample design with response rates of 67 and 76 %, respectively. The multivariate analysis showed that border residence and higher perceived neighborhood collective efficacy were protective for depression among men. Among men, lower education, unemployment, increased weekly drinking, and poor health status were associated with depression. Among women, alcohol-related problems and poorer health status were also associated with depression. Further examinations of how neighborhood perceptions vary by gender and how these perceptions influence the likelihood of depression are warranted. (PsycINFO Database Record (c) 2018 APA, all rights reserved)</t>
  </si>
  <si>
    <t>http://search.ebscohost.com.proxy-ub.rug.nl/login.aspx?direct=true&amp;db=psyh&amp;AN=2016-29748-002&amp;site=ehost-live&amp;scope=site</t>
  </si>
  <si>
    <t>Factors associated with depression experience of immigrant populations: A study of Korean immigrants.</t>
  </si>
  <si>
    <t>Kim, Miyong T.; Han, Hae-Ra; Shin, Hye Sook; Kim, Kim B.; Lee, Hochang Benjamin</t>
  </si>
  <si>
    <t>2005-15047-004</t>
  </si>
  <si>
    <t>10.1016/j.apnu.2005.07.004</t>
  </si>
  <si>
    <t>Cross Cultural Psychology; Immigration; Life Experiences; Major Depression; Stress; Korean Cultural Groups; Adulthood (18 yrs &amp; older); Young Adulthood (18-29 yrs); Thirties (30-39 yrs); Middle Age (40-64 yrs); Aged (65 yrs &amp; older); Male; Female</t>
  </si>
  <si>
    <t>A correlational, cross-sectional study with multivariate analysis was conducted to identify factors that influence the depression experience in 154 Korean immigrants. Based on the stress-health outcome framework, four variables (i.e., sense of mastery, socioeconomic status, social support, and acculturation) were tested for their mediating effects between stress and depression experienced by Korean Americans. Path analyses showed that the negative effect of life stress on depression was buffered by higher levels of sense of mastery and social support in the Korean sample. Implications for future cross-cultural depression research and preventive strategies against depression in immigrant populations are discussed. (PsycINFO Database Record (c) 2018 APA, all rights reserved)</t>
  </si>
  <si>
    <t>http://search.ebscohost.com.proxy-ub.rug.nl/login.aspx?direct=true&amp;db=psyh&amp;AN=2005-15047-004&amp;site=ehost-live&amp;scope=site</t>
  </si>
  <si>
    <t>Factors associated with depressive symptoms among Mexican immigrant men in south Mississippi: An exploratory study.</t>
  </si>
  <si>
    <t>Lee, Joohee; Rehner, Tim; Castellanos, Diana Cuy</t>
  </si>
  <si>
    <t>2011-25868-002</t>
  </si>
  <si>
    <t>10.1080/15313204.2011.622198</t>
  </si>
  <si>
    <t>Human Males; Immigration; Major Depression; Psychosocial Factors; Symptoms; Mental Health; Adulthood (18 yrs &amp; older); Young Adulthood (18-29 yrs); Thirties (30-39 yrs); Middle Age (40-64 yrs); Male</t>
  </si>
  <si>
    <t>Despite increased interest in mental health among Latino immigrants in the United States, it is particularly salient to note that minimal or marginal attention has been paid to Mexican immigrant men settling in non-metro or rural areas outside of traditional settlement places. The purpose of this study was to examine factors associated with depressive symptoms among Mexican immigrant men in south Mississippi. A total of 72 Mexican men who were at least 18 years of age and foreign born participated in this study. Multiple regression analyses revealed that higher levels of education were related to fewer depressive symptoms. Furthermore, this study confirmed that living with a spouse/partner in the United States was a protective factor to depressive symptoms. Implications of the findings for practice and policy and recommendations for future research are discussed. (PsycINFO Database Record (c) 2016 APA, all rights reserved)</t>
  </si>
  <si>
    <t>http://search.ebscohost.com.proxy-ub.rug.nl/login.aspx?direct=true&amp;db=psyh&amp;AN=2011-25868-002&amp;site=ehost-live&amp;scope=site</t>
  </si>
  <si>
    <t>Factors associated with drinking behavior among immigrant women in Taiwan.</t>
  </si>
  <si>
    <t>Liu, Yi-Chun; Chen, Hung-Hui; Lee, Jia-Fu; Chu, Kuei-Hui; Chien, Li-Yin</t>
  </si>
  <si>
    <t>2017-11187-015</t>
  </si>
  <si>
    <t>10.1080/10826084.2016.1253745</t>
  </si>
  <si>
    <t>Acculturation; Alcohol Drinking Patterns; Immigration; Human Females; Adulthood (18 yrs &amp; older); Young Adulthood (18-29 yrs); Thirties (30-39 yrs); Middle Age (40-64 yrs); Aged (65 yrs &amp; older); Female</t>
  </si>
  <si>
    <t>Background: Transnational marriage-based immigrant women in Taiwan have moved to a country where alcohol use is prevalent and they face the challenge of adaptation into a new society, which could influence their drinking behavior. Objectives: To describe the prevalence of alcohol drinking and examine factors associated with drinking patterns among immigrant women in Taiwan. Methods: This study was a cross-sectional questionnaire survey and data were collected from June through November in 2013. Convenience samples of 757 immigrant women were recruited across Taiwan. Alcohol use patterns during the past year were divided into abstinent, low-risk drinking, and hazardous drinking based on the Alcohol Use Disorder Identification Test. Measures included subject characteristics, exposure to cigarettes and alcohol, acculturation level, and perceived stress. Results: The prevalence of drinking during the past year among immigrant women was 29.9% (low-risk drinking 27.6% and hazardous drinking: 2.3%). Multinomial logistic regression showed that women who were employed, who smoked, whose husbands drank, and who interacted with Taiwanese friends frequently were significantly more likely to be in the low-risk drinking group compared with the abstinent group. Women who were divorced/widowed, who had low education levels, who smoked, and whose husbands drank were significantly more likely to be in the hazardous drinking group compared with the abstinent group. Conclusions: More acculturation in immigrant women as indicated by working and frequently interacting with friends in mainstream society was related to low-risk drinking behavior; adversities as indicated by loss of marriage and low education level were related to hazardous drinking behavior. (PsycINFO Database Record (c) 2017 APA, all rights reserved)</t>
  </si>
  <si>
    <t>http://search.ebscohost.com.proxy-ub.rug.nl/login.aspx?direct=true&amp;db=psyh&amp;AN=2017-11187-015&amp;site=ehost-live&amp;scope=site</t>
  </si>
  <si>
    <t>Factors contributing to Hwabyung symptoms among Korean immigrants.</t>
  </si>
  <si>
    <t>Lee, Jonghyun</t>
  </si>
  <si>
    <t>2013-07325-002</t>
  </si>
  <si>
    <t>10.1080/15313204.2012.729175</t>
  </si>
  <si>
    <t>Immigration; Korean Cultural Groups; Mental Disorders; Risk Factors; Symptoms; Acculturation; Anger; Epidemiology; Suppression (Defense Mechanism); Adulthood (18 yrs &amp; older); Young Adulthood (18-29 yrs); Thirties (30-39 yrs); Middle Age (40-64 yrs); Male; Female</t>
  </si>
  <si>
    <t>This article reports on findings of a study examining the factors contributing to hwabyung symptoms among Korean immigrants in the United States. Data collected from an anonymous, voluntary survey of 242 adult Korean immigrants residing in the New England metropolitan area were employed for a statistical analysis. The findings highlight the importance of coping resources, both social support and self-esteem, in explaining hwabyung symptoms. Also, the findings suggest that education attained in the United States, economic circumstance, and gender have significant impacts on hwabyung symptoms. Based on the findings, the implications for practice and future study are discussed. (PsycINFO Database Record (c) 2016 APA, all rights reserved)</t>
  </si>
  <si>
    <t>http://search.ebscohost.com.proxy-ub.rug.nl/login.aspx?direct=true&amp;db=psyh&amp;AN=2013-07325-002&amp;site=ehost-live&amp;scope=site</t>
  </si>
  <si>
    <t>Factors influencing attitudes towards seeking professional help among East and Southeast Asian immigrant and refugee women.</t>
  </si>
  <si>
    <t>Fung, Kenneth; Wong, Yuk-Lin Renita</t>
  </si>
  <si>
    <t>2007-06791-003</t>
  </si>
  <si>
    <t>10.1177/0020764006074541</t>
  </si>
  <si>
    <t>Asians; Female Attitudes; Health Care Utilization; Help Seeking Behavior; Mental Health Services; Cross Cultural Psychology; Human Females; Immigration; Minority Groups; Refugees; Sociocultural Factors; Adulthood (18 yrs &amp; older); Female</t>
  </si>
  <si>
    <t>Background and aims: It has been recognized that Asian immigrants in North America have lower rates of mental health service utilization. From the perspective of cross-cultural psychiatry, one of the most important cultural factors may be differences in the explanatory model of illness. This article examines the relationship of causal beliefs, perceived service accessibility and attitudes towards seeking mental health care. Method: The sample consisted of 1000 immigrant and refugee women from five ethnic minority communities in Toronto, including three Chinese Canadian communities (Hong Kong, mainland China and Taiwan), Korean Canadians and Vietnamese Canadians. Data were acquired by a self-administered structured questionnaire. Quantitative data were analysed using MANOVA, ANOVA and stepwise multiple regression. Results: The five ethnic minority groups of women differed in their explanatory models about mental illness and distress. In the full model where other variables were controlled for, the most significant factor predicting attitudes towards seeking professional help was perceived access for all groups except the Hong Kong Chinese. In the last group, those subscribing more to a Western stress model of illness had a more positive attitude towards seeking professional help, while those subscribing more to supernatural beliefs had a more negative attitude. Age and education were not significant predictors. Conclusion: Perceived access is one of the main factors that influence attitudes toward seeking professional help. Explanatory models may predict help-seeking behaviours if perceived access to such services is available. (PsycINFO Database Record (c) 2016 APA, all rights reserved)</t>
  </si>
  <si>
    <t>http://search.ebscohost.com.proxy-ub.rug.nl/login.aspx?direct=true&amp;db=psyh&amp;AN=2007-06791-003&amp;site=ehost-live&amp;scope=site</t>
  </si>
  <si>
    <t>Factors influencing burden among non-professional immigrant caregivers: A case-control study.</t>
  </si>
  <si>
    <t>Gallart, Albert; Cruz, Félix; Zabalegui, Adelaida</t>
  </si>
  <si>
    <t>2013-05693-015</t>
  </si>
  <si>
    <t>10.1111/j.1365-2648.2012.06049.x</t>
  </si>
  <si>
    <t>Caregiver Burden; Caregivers; Immigration; Quality of Life; Social Support; Family Members; Social Integration; Adulthood (18 yrs &amp; older); Young Adulthood (18-29 yrs); Thirties (30-39 yrs); Middle Age (40-64 yrs); Aged (65 yrs &amp; older); Male; Female</t>
  </si>
  <si>
    <t>Aim: To identify factors related to the burden that is experienced by untrained immigrant caregivers. Background: There is growing concern about how to provide the care required by an ageing population. Although elder care has usually been provided by family members, this role is increasingly being fulfilled by immigrant caregivers with no formal training. Design: Case–control study (burdened/non-burdened according to the Zarit Burden Interview). Methods: The study took place between May 2005–October 2009. Anonymous questionnaires were distributed to 110 immigrant caregivers and their corresponding older care recipients (n = 110), who were receiving care in their homes in Barcelona (Spain). The questionnaires included measures of burden, social support, quality of life and social integration, and items about the physical/psychological status of the care recipient and the nature of the care tasks. Two groups of immigrant caregivers were defined according to their scores on the Zarit Burden Interview: burdened (n = 55) and non-burdened (n = 55). Results: Burdened caregivers reported less social support, a poorer quality of life, and problems with social integration. Furthermore, 48% said that they lacked knowledge about the care task, while 44% had difficulty performing certain care tasks, which constitutes a risk situation. Conclusion: Burden among untrained immigrant caregivers may be reduced by improving their social support systems and quality of life, thereby helping to ensure the availability of the caregiver services, which society increasingly needs. (PsycINFO Database Record (c) 2016 APA, all rights reserved)</t>
  </si>
  <si>
    <t>http://search.ebscohost.com.proxy-ub.rug.nl/login.aspx?direct=true&amp;db=psyh&amp;AN=2013-05693-015&amp;site=ehost-live&amp;scope=site</t>
  </si>
  <si>
    <t>Factors influencing disclosure of abuse by women of Mexican descent.</t>
  </si>
  <si>
    <t>Montalvo-Liendo, Nora; Wardell, Diane W.; Engebretson, Joan; Reininger, Belinda M.</t>
  </si>
  <si>
    <t>2009-22767-007</t>
  </si>
  <si>
    <t>10.1111/j.1547-5069.2009.01304.x</t>
  </si>
  <si>
    <t>Human Females; Intimate Partner Violence; Self-Disclosure; Mexican Americans; Latinos/Latinas; Adulthood (18 yrs &amp; older); Young Adulthood (18-29 yrs); Thirties (30-39 yrs); Middle Age (40-64 yrs); Female</t>
  </si>
  <si>
    <t>Purpose: The purpose of this study was to describe the factors that influence disclosure of abuse by women of Mexican descent. Few published studies describe the experiences of women of Mexican descent with a history of intimate partner abuse, specifically in terms of their process of disclosure of abuse. Methods: A qualitative research design was used to conduct this study in south Texas adjacent to the United States-Mexico border. Twenty-six key informants were recruited from two different sites. An open-ended approach with a semistructured interview guide was used to collect the narrative information from the 26 participants. Results: The findings illuminated that many factors hindered disclosure. Some of these factors included protecting their partners, avoidance of worrying their mothers, and fear of losing their children. Conclusions: The study may help healthcare providers to understand the complexity of disclosure by women with a history of intimate partner abuse and may help explain why women do not readily disclose their abusive situations. Clinical Relevance: This study on the disclosure decision process of abuse by women of Mexican descent provides some understanding on the cultural or situational factors that hindered or encouraged disclosure; ultimately this knowledge can help healthcare providers and others to provide for the woman’s health, welfare, and safety. (PsycINFO Database Record (c) 2019 APA, all rights reserved)</t>
  </si>
  <si>
    <t>http://search.ebscohost.com.proxy-ub.rug.nl/login.aspx?direct=true&amp;db=psyh&amp;AN=2009-22767-007&amp;site=ehost-live&amp;scope=site</t>
  </si>
  <si>
    <t>Factors influencing the general well-being of low-income Korean immigrant elders.</t>
  </si>
  <si>
    <t>Lee, Kyoung Hag; Yoon, Dong Pil</t>
  </si>
  <si>
    <t>2013-15588-007</t>
  </si>
  <si>
    <t>10.1093/sw/56.3.269</t>
  </si>
  <si>
    <t>Health; Korean Cultural Groups; Social Support; Stress; Well Being; Immigration; Spirituality; Adulthood (18 yrs &amp; older); Aged (65 yrs &amp; older); Very Old (85 yrs &amp; older); Male; Female</t>
  </si>
  <si>
    <t>This study explores factors that influence the general well-being (anxiety, depression, positive well-being, self-control, vitality, and general health) of low-income Korean immigrant elders by interviewing 206 older adults living in Los Angeles County and Orange County, California. Ordinary least squares regression results reveal that lack of English proficiency and longer residence in the United States were significant predictors of higher anxiety, higher depression, lower self-control, lower vitality, and lower general health among Korean immigrant elders. Losing a spouse was a significantly negative factor in vitality. Financial problems were significantly associated with lower positive well-being. Social support was a significant factor in lower anxiety, lower depression, higher positive well-being, higher self-control, and higher vitality. Spiritual coping was significantly associated with lower anxiety, lower depression, higher positive well-being, and higher vitality. The findings of this study show that low-income Korean immigrant elders are at high risk for psychological and physical health problems influenced by difficulties with the acculturation or adjustment and socioeconomic stress of living in a new society. The study discusses essential implications for culturally competent social work practice among low-income Korean immigrant elders. (PsycINFO Database Record (c) 2019 APA, all rights reserved)</t>
  </si>
  <si>
    <t>http://search.ebscohost.com.proxy-ub.rug.nl/login.aspx?direct=true&amp;db=psyh&amp;AN=2013-15588-007&amp;site=ehost-live&amp;scope=site</t>
  </si>
  <si>
    <t>Factors related to positive changes in perceived health status of married Han Chinese and Korean-Chinese women after immigration to Korea.</t>
  </si>
  <si>
    <t>Asano, Kana; Ryu, Si Hyun; Chin, Meejung; Yoon, Jihyun</t>
  </si>
  <si>
    <t>Asia-Pacific Journal of Public Health</t>
  </si>
  <si>
    <t>2016-61396-010</t>
  </si>
  <si>
    <t>10.1177/1010539516675697</t>
  </si>
  <si>
    <t>Chinese Cultural Groups; Cross Cultural Differences; Health Behavior; Immigration; Korean Cultural Groups; Health Status; Adulthood (18 yrs &amp; older); Young Adulthood (18-29 yrs); Thirties (30-39 yrs); Middle Age (40-64 yrs); Female</t>
  </si>
  <si>
    <t>This study aimed to compare factors related to changes in perceived health status of Han Chinese (traditional Chinese) and Korean-Chinese (Chinese nationals of Korean descent) women after immigration to Korea. During summer 2013, a survey was conducted with 151 Han and 158 Korean-Chinese women married to Korean men. Most of the respondents reported either no changes (82%) or positive changes (18%) in their perceived health status after immigration. The results of the multiple logistic regression analyses indicated healthy dietary behavior was related to positive changes in the perceived health status of both groups (odds ratio [OR] = 7.4 for Han Chinese; OR = 14.6 for Korean-Chinese). Among Han Chinese women, the length of residence in Korea and the change in perceived health status showed a negative relation (OR = 0.2). In contrast, their level of acculturation and health perception were positive (OR = 7.5). However, these results did not apply to the Korean-Chinese women. In conclusion, factors related to changes in perceived health status differed between the 2 groups although they shared healthy dietary behaviors as a common factor. Therefore, policies and programs aimed at promoting immigrant women’s health should consider the differences between Han Chinese and Korean-Chinese. (PsycINFO Database Record (c) 2019 APA, all rights reserved)</t>
  </si>
  <si>
    <t>http://search.ebscohost.com.proxy-ub.rug.nl/login.aspx?direct=true&amp;db=psyh&amp;AN=2016-61396-010&amp;site=ehost-live&amp;scope=site</t>
  </si>
  <si>
    <t>Factors that impact the sociocultural adjustment and well-being of Syrian refugees in Stuttgart—Germany.</t>
  </si>
  <si>
    <t>El Khoury, Samar Jean</t>
  </si>
  <si>
    <t>British Journal of Guidance &amp; Counselling</t>
  </si>
  <si>
    <t>2018-45772-001</t>
  </si>
  <si>
    <t>10.1080/03069885.2018.1520196</t>
  </si>
  <si>
    <t>Acculturation; Mental Health; Psychological Reactance; Refugees; Well Being; Adjustment; Major Depression; Adolescence (13-17 yrs); Adulthood (18 yrs &amp; older); Young Adulthood (18-29 yrs); Thirties (30-39 yrs); Middle Age (40-64 yrs); Male; Female</t>
  </si>
  <si>
    <t>This study investigated the impact of age, gender, language and acculturation choice on the sociocultural adjustment and well-being of Syrian refugees in Stuttgart, Germany. A total of 214 Syrian refugees participated in this study by filling a demographics questionnaire, the Acculturation Attitudes Scale (AAS-16), the Revised Sociocultural Adjustment Scale (R-SCAS), and the Mental Health Inventory (MHI-18). The results showed that the level of German language acquisition significantly correlated with sociocultural adjustment. No significant correlation was found between age and depression level and no significant difference in depression scores were found as a function of gender. Integration significantly correlated with sociocultural adjustment and mental health. Assimilation correlated significantly with sociocultural adjustment, and separation correlated negatively with mental health. (PsycInfo Database Record (c) 2020 APA, all rights reserved)</t>
  </si>
  <si>
    <t>http://search.ebscohost.com.proxy-ub.rug.nl/login.aspx?direct=true&amp;db=psyh&amp;AN=2018-45772-001&amp;site=ehost-live&amp;scope=site</t>
  </si>
  <si>
    <t>Factors that influence self-reported general health status among different Asian ethnic groups: Evidence from the Roadmap to the New Horizon: Linking Asians to Improved Health and Wellness study.</t>
  </si>
  <si>
    <t>Maty, Siobhan C.; Leung, Holden; Lau, Christine; Kim, Gemma</t>
  </si>
  <si>
    <t>2011-09638-019</t>
  </si>
  <si>
    <t>10.1007/s10903-010-9349-1</t>
  </si>
  <si>
    <t>Asians; Health; Self-Report; Communities; Racial and Ethnic Groups; Adulthood (18 yrs &amp; older); Young Adulthood (18-29 yrs); Thirties (30-39 yrs); Middle Age (40-64 yrs); Aged (65 yrs &amp; older); Very Old (85 yrs &amp; older); Male; Female</t>
  </si>
  <si>
    <t>Little is known about the determinants of self-reported general health status among different Asian ethnic subgroups. Using a community-based participatory research approach, we designed, administered, and analyzed a cross-sectional survey of 705 Asians (292 Chinese, 226 Korean, 187 Vietnamese) in the Portland, Oregon region to describe associations between general health status and several sociodemographic and health-related factors in pooled and ethnic-group-stratified samples. Ethnic variation existed in all covariate distributions, except employment, public-service use, language use, health status, visiting healthcare providers, sleep habits, and use of prayer, meditation, yoga or acupuncture. Acculturation measures were strong predictors of poor/fair health in logistic regression models regardless of ethnicity. Ethnic variation in outcome status existed for all remaining covariates. Most health-related research overlooks the heterogeneity within the Asian population. These findings highlight substantial variability in the associations between self-reported general health status and sociodemographic and health-related measures between Asian ethnic groups. (PsycINFO Database Record (c) 2016 APA, all rights reserved)</t>
  </si>
  <si>
    <t>http://search.ebscohost.com.proxy-ub.rug.nl/login.aspx?direct=true&amp;db=psyh&amp;AN=2011-09638-019&amp;site=ehost-live&amp;scope=site</t>
  </si>
  <si>
    <t>Factors that influence suicidal ideation among elderly Korean immigrants: Focus on diatheses and stressors.</t>
  </si>
  <si>
    <t>Kim, Bum Jung; Ahn, Joonhee</t>
  </si>
  <si>
    <t>2014-21376-013</t>
  </si>
  <si>
    <t>10.1080/13607863.2013.866631</t>
  </si>
  <si>
    <t>Hopelessness; Immigration; Neuroticism; Suicidal Ideation; Geriatrics; Stress; Adulthood (18 yrs &amp; older); Aged (65 yrs &amp; older); Very Old (85 yrs &amp; older); Male; Female</t>
  </si>
  <si>
    <t>Objectives: The study examined major diatheses and stressors directly related to suicidal ideation among elderly Korean immigrants. The study also explored the significant interactions among these factors.Method: Data were collected from a cross-sectional survey of 220 elderly Korean immigrants (age ≥ 65) in Los Angeles County.Results: Using a robust hierarchical regression, the study found that neuroticism and hopelessness were significantly associated with suicidal ideation. In addition, two interaction terms – neuroticism by hopelessness and neuroticism by acculturation – were both significant predictor variables with strong explanatory power.Conclusion: The theoretical implications as well as the practical implications for developing and implementing late-life suicide prevention strategies are discussed. (PsycINFO Database Record (c) 2017 APA, all rights reserved)</t>
  </si>
  <si>
    <t>http://search.ebscohost.com.proxy-ub.rug.nl/login.aspx?direct=true&amp;db=psyh&amp;AN=2014-21376-013&amp;site=ehost-live&amp;scope=site</t>
  </si>
  <si>
    <t>Familialism, social support, and stress: Positive implications for pregnant Latinas.</t>
  </si>
  <si>
    <t>Campos, Belinda; Schetter, Christine Dunkel; Abdou, Cleopatra M.; Hobel, Calvin J.; Glynn, Laura M.; Sandman, Curt A.</t>
  </si>
  <si>
    <t>2008-04404-009</t>
  </si>
  <si>
    <t>10.1037/1099-9809.14.2.155</t>
  </si>
  <si>
    <t>Family Relations; Pregnancy; Social Support; Stress; Latinos/Latinas; Sociocultural Factors; Values; Adulthood (18 yrs &amp; older); Female</t>
  </si>
  <si>
    <t>This study examined the association of familialism, a cultural value that emphasizes close family relationships, with social support, stress, pregnancy anxiety, and infant birth weight. Foreign-born Latina (n = 31), U.S.-born Latina (n = 68), and European American (n = 166) women living in the United States participated in a prospective study of pregnancy in which they completed measures of familialism, social support, stress, and pregnancy anxiety during their second trimester. As expected, Latinas scored higher on familialism than European Americans. Familialism was positively correlated with social support and negatively correlated with stress and pregnancy anxiety in the overall sample. As predicted, however, the associations of familialism with social support and stress were significantly stronger among Latinas than European Americans. Moreover, higher social support was associated with higher infant birth weight among foreign-born Latinas only. Implications of cultural values for relationships and health are discussed. (PsycINFO Database Record (c) 2016 APA, all rights reserved)</t>
  </si>
  <si>
    <t>http://search.ebscohost.com.proxy-ub.rug.nl/login.aspx?direct=true&amp;db=psyh&amp;AN=2008-04404-009&amp;site=ehost-live&amp;scope=site</t>
  </si>
  <si>
    <t>Family weight teasing, ethnicity and acculturation: Associations with well-being among Latinx, Hmong, and Somali Adolescents.</t>
  </si>
  <si>
    <t>Eisenberg, Marla E.; Puhl, Rebecca; Areba, Eunice M.; Neumark-Sztainer, Dianne</t>
  </si>
  <si>
    <t>2019-23463-001</t>
  </si>
  <si>
    <t>10.1016/j.jpsychores.2019.04.007</t>
  </si>
  <si>
    <t>Acculturation; Family Members; Racial and Ethnic Differences; Teasing; Adolescent Health; Cross Cultural Differences; Group Differences; Obesity (Attitudes Toward); Regional Differences; Test Construction; Weight Control; Well Being; Latinos/Latinas; Childhood (birth-12 yrs); School Age (6-12 yrs); Adolescence (13-17 yrs); Male; Female</t>
  </si>
  <si>
    <t>Objective: This study examines the prevalence of weight-based teasing by family members and associations with unhealthy weight control behaviors, body satisfaction, self-esteem, and depressive symptoms among adolescents from three immigrant communities (Latinx, Hmong, and Somali). Methods: Data come from EAT 2010, a population-based study of weight and related behaviors (N = 1577, mean age = 14.5 years). Adjusted models tested associations between weight-based teasing and well-being, controlling for BMI and ethnic group; effect modification by ethnic group and acculturation were also explored. Results: Family weight-based teasing was common (12.1%–42.9% reporting this experience across gender and ethnic groups) and was associated with all four measures of well-being in the expected direction. Associations were statistically equivalent in all ethnic groups and were not modified by acculturation. Conclusion: Youth from immigrant communities experience family weight-based teasing and associated threats to well-being. Additional research is needed to further understand the cultural context of weight-based teasing and develop relevant prevention messages. (PsycInfo Database Record (c) 2020 APA, all rights reserved)</t>
  </si>
  <si>
    <t>http://search.ebscohost.com.proxy-ub.rug.nl/login.aspx?direct=true&amp;db=psyh&amp;AN=2019-23463-001&amp;site=ehost-live&amp;scope=site</t>
  </si>
  <si>
    <t>Feasibility of conducting a longitudinal, transnational study of Filipino migrants to the United States: A dual-cohort design.</t>
  </si>
  <si>
    <t>Gee, Gilbert C.; de Castro, A. B.; Wang, May C.; Crespi, Catherine M.; Morey, Brittany N.; Fujishiro, Kaori</t>
  </si>
  <si>
    <t>2015-23503-016</t>
  </si>
  <si>
    <t>10.1353/hpu.2015.0045</t>
  </si>
  <si>
    <t>Body Weight; Immigration; Public Health; Obesity; Adulthood (18 yrs &amp; older); Male; Female</t>
  </si>
  <si>
    <t>Most studies of immigrant health are cross-sectional and fail to collect information prior to migration, leading to potential bias and confounding. The present pilot study examines the feasibility of studying migrants prospectively, with baseline data collected before migration. The study followed two cohorts of Filipinos for one year, a migrant cohort (n = 27) that emigrated to the U.S. and a second non-migrant cohort (n = 26) that remained in the Philippines. The one-year retention rate was 96%. The migrant cohort arrived in the U.S. within two months of their baseline assessment. Migrants and non-migrants did not differ with regard to body mass index, waist circumference, or waist to hip ratio at baseline or at follow-up. It is feasible to conduct a transnational, longitudinal study of two cohorts of Filipinos. This design provides important pre-migration information, is analogous to a natural experiment, can be upscaled, and allows for a rigorous examination of immigrant health. (PsycINFO Database Record (c) 2016 APA, all rights reserved)</t>
  </si>
  <si>
    <t>http://search.ebscohost.com.proxy-ub.rug.nl/login.aspx?direct=true&amp;db=psyh&amp;AN=2015-23503-016&amp;site=ehost-live&amp;scope=site</t>
  </si>
  <si>
    <t>Feeling ‘right’ when you feel accepted: Emotional acculturation in daily life interactions with majority members.</t>
  </si>
  <si>
    <t>Jasini, Alba; De Leersnyder, Jozefien; Mesquita, Batja</t>
  </si>
  <si>
    <t>2018-40125-001</t>
  </si>
  <si>
    <t>10.3389/fpsyg.2018.01093</t>
  </si>
  <si>
    <t>Acculturation; School Environment; Student Attitudes; Multiculturalism; Emotions; Interpersonal Interaction; Adolescence (13-17 yrs); Adulthood (18 yrs &amp; older); Young Adulthood (18-29 yrs); Male; Female</t>
  </si>
  <si>
    <t>When immigrant minority individuals engage in frequent and positive social contact with majority culture members, their emotions become a better fit with the majority norm; the increased fit is called emotional acculturation. In the current research, we test the prediction that high-quality interactions with majority others, in which minorities feel accepted, increase the likelihood of emotional fit. We also explore whether this prediction holds true for both positive and negative interactions with majority. To test this prediction, we conducted a 7-day daily diary study with minority students in Belgian middle schools (N = 117). Each day, participants reported one positive and one negative interaction at school. They subsequently evaluated each interaction (e.g., felt accepted), assessed their relationship with the interaction partner (e.g., our relationship is important to me), and rated their emotions. Analyses focused on the interactions with Belgian majority interaction partners. Emotional acculturation was computed for positive and negative interactions separately, by calculating the fit between the emotional pattern of the minority student and the average emotional pattern of a sample of majority participants (N = 106) who also took part in the daily diary. As predicted, we found higher emotional fit in positive interactions when immigrant minorities felt accepted by the interaction partner. In contrast to this finding for positive interactions, emotional fit for negative interactions was higher when minorities felt excluded by the interaction partner. Further analyses on the negative interactions suggested that minority adolescents felt more negative autonomy-promoting emotions (e.g., anger and frustration) when they perceived being excluded. Given that Belgian majority youth feel more autonomy-promoting emotions generally, minorities’ fit with majority patterns was higher. The results confirm our hypothesis that minorities’ fit with majority emotions is contingent on the quality of their interactions with majority, even if in negative interactions, high-quality interactions produced less rather than more emotional fit. Our findings suggest that emotional acculturation is not just a ‘skill’ that minority individuals acquire, but also a response to the ways in which interactions with majority others develop. Inclusive interactions, especially when they are positive, appear to align immigrant minority individuals with the majority norm. (PsycInfo Database Record (c) 2020 APA, all rights reserved)</t>
  </si>
  <si>
    <t>http://search.ebscohost.com.proxy-ub.rug.nl/login.aspx?direct=true&amp;db=psyh&amp;AN=2018-40125-001&amp;site=ehost-live&amp;scope=site</t>
  </si>
  <si>
    <t>Female refugee networks: Rebuilding post-conflict identity.</t>
  </si>
  <si>
    <t>Smith, L. Ripley</t>
  </si>
  <si>
    <t>2013-02133-001</t>
  </si>
  <si>
    <t>10.1016/j.ijintrel.2012.04.011</t>
  </si>
  <si>
    <t>Human Females; Refugees; Social Identity; Social Networks; Acculturation; Adolescence (13-17 yrs); Adulthood (18 yrs &amp; older); Young Adulthood (18-29 yrs); Thirties (30-39 yrs); Middle Age (40-64 yrs); Female</t>
  </si>
  <si>
    <t>The typical refugee has not only fled her native country and been evicted from her native social architecture, but also her sense of personhood has been displaced. She is faced with the daunting need to relocate self in a new cultural space. Re-establishing a life after the crisis often means resettlement in a new home country where smooth resettlement often hinges on the refugee's ability to rebuild her social network in the host culture. The purpose of this study is to describe the social architecture of female refugee identity. A multiple case study of seventeen (N =17) female refugees, representing 135 relational ties, is used to explore the composition of refugee social networks from 14 different countries in order to understand intercultural identity from a socio-structural perspective. The study demonstrates that refugees occupy a relationally thin identity space; commonly that means a high-density, low-heterogeneity, small network that leaves very little flexibility for new identity formation. The mean network heterogeneity across all cases was 0.27, indicating a low presence of host nationals in the networks. Working from their stories of liminality and the search for communitas, the study provides insight into the variability within social architectures for refugee identity and the particular acculturation narratives represented within a socio-structural space of redefinition. The study furthers our understanding of the interconnections between structural properties and communicative properties of identity formation through the depiction of female refugee-immigrant ethno-graphs. (PsycINFO Database Record (c) 2016 APA, all rights reserved)</t>
  </si>
  <si>
    <t>http://search.ebscohost.com.proxy-ub.rug.nl/login.aspx?direct=true&amp;db=psyh&amp;AN=2013-02133-001&amp;site=ehost-live&amp;scope=site</t>
  </si>
  <si>
    <t>Filipinas' level of acculturation and their attitudes toward women's roles.</t>
  </si>
  <si>
    <t>Floresca, Beverly</t>
  </si>
  <si>
    <t>4-B</t>
  </si>
  <si>
    <t>2006-99020-340</t>
  </si>
  <si>
    <t>Acculturation; Asians; Sex Role Attitudes; Sex Roles</t>
  </si>
  <si>
    <t>Little empirical research has been conducted on Filipinos even though they are the second largest Asian group in the United States. Because the Philippines is the second largest source of immigrants to the United States, studying Filipinos' processes of acculturation is important as acculturation can result in Filipinos experiencing intergenerational conflict, marital discord, adjustment disorders, racism, and shifts in traditional gender roles. Because female ethnic minorities are doubly stigmatized for their race as well as their gender, this study investigated aspects of the Filipina experience. More precisely, Filipinas' level of acculturation was examined in relation to their attitudes toward women's gender roles. One hundred twenty-one Filipinas from the San Francisco Bay Area completed a demographic questionnaire, the Suinn-Lew Asian Self-Identity Acculturation Scale (SL-ASIA) that measures behavioral acculturation, the Asian Values Scale (AVS) that measures adherence to Asian values, the Sex Role Orientation Scale (SRO) that measures attitudes toward women's roles, and 2 open-ended questions. Hypotheses were tested using Pearson's r correlations and a stepwise regression. Results indicated that adherence to Asian values and participants' age at immigration to the United States were significant predictors of attitudes toward women's roles. Both behavioral acculturation and adherence to Asian values were significantly correlated with attitudes toward women's roles. In addition, participants who were more behaviorally acculturated were significantly less likely to adhere to Asian values. Furthermore, participants were significantly more likely to have nontraditional attitudes toward women's roles if they had high incomes, were more educated, spoke more English at home, and were born in the United States. Limitations of this study and implications for future research are also discussed. (PsycINFO Database Record (c) 2016 APA, all rights reserved)</t>
  </si>
  <si>
    <t>http://search.ebscohost.com.proxy-ub.rug.nl/login.aspx?direct=true&amp;db=psyh&amp;AN=2006-99020-340&amp;site=ehost-live&amp;scope=site</t>
  </si>
  <si>
    <t>First language maintenance and attrition among young Chinese adult immigrants: A multi-case study.</t>
  </si>
  <si>
    <t>Xie, Mianmian</t>
  </si>
  <si>
    <t>5-A</t>
  </si>
  <si>
    <t>2010-99210-544</t>
  </si>
  <si>
    <t>Immigration; Language; Linguistics; South Asian Cultural Groups; Native Language; Adulthood (18 yrs &amp; older)</t>
  </si>
  <si>
    <t>The role of the first language (L1) has been generally acknowledged as having important implications for young immigrants' linguistic, educational, socio-cultural, intellectual, career, and identity development (e.g., Cummins, 2001; Guardado, 2002; Kim 2006; Kouritzin, 1999). In this case study I investigated the first language maintenance and attrition of three young adults who had immigrated to Canada as children from mainland China and Taiwan. Two questions were addressed: (a) What linguistic elements were maintained and eroded in the participants' heritage language? and (b) What social and psychological factors contributed to the participants' L1 maintenance and attrition? The data were collected through self-evaluation questionnaires, translation tasks and open-ended interviews both in English and Mandarin. Using a combination of life stories describing the participants' personal linguistic and social experiences in Canada and the results of linguistic assessments through different tasks, the study provides a detailed examination of the phenomenon of L1 maintenance and attrition among young adult immigrants from China. The findings of this study indicate that the three participants took distinct routes resulting in differential outcomes in their first language maintenance and attrition. Ethnic and cultural identity, and language attitudes and beliefs were identified as important internal factors. School discourse including teachers' attitudes towards immigrants' L1, peer influences and access to planned L1 educational activities both at home and in the school system were important external factors affecting the participants' L1 maintenance and attrition. The results provide support for the view that a collaborative, inclusive approach to education that involves not only immigrant students, but also their families, educational systems, and society in general facilitates young immigrants' bilingualism and acculturation. (PsycINFO Database Record (c) 2016 APA, all rights reserved)</t>
  </si>
  <si>
    <t>http://search.ebscohost.com.proxy-ub.rug.nl/login.aspx?direct=true&amp;db=psyh&amp;AN=2010-99210-544&amp;site=ehost-live&amp;scope=site</t>
  </si>
  <si>
    <t>Flourishing among Japanese immigrants and sojourners in Texas: Social capital and acculturation.</t>
  </si>
  <si>
    <t>Ando, Sachi</t>
  </si>
  <si>
    <t>7-A</t>
  </si>
  <si>
    <t>2011-99010-520</t>
  </si>
  <si>
    <t>Acculturation; Immigration; Social Capital; Socioeconomic Status; Adulthood (18 yrs &amp; older); Male; Female</t>
  </si>
  <si>
    <t>Are immigrants in the United States flourishing? What constitute flourishing life among them? This cross-sectional, survey study focused on the role of social capital and acculturation to American society on flourishing among the purposive sample of Japanese immigrants and sojourners living in Dallas/Fort Worth, Texas, USA. A total of 380 cases were used to test the hypothetical model of flourishing through structural equation modeling. The majority of the participants was female, in their 30s and 40s, married, fairly high socioeconomic status, and employed. The average lengths of stay in the United States were almost 10 years. Confirmatory factor analysis revealed that all the measurement models of flourishing, social capital, and acculturation to American society were reliable and valid with no or a few modifications. The MIMIC model was not included in the final model because of its poor fit (the CFI = .887, the TLI = .830, the RMSEA = .143, χ2 = 122.28, df = 14, p &lt; .05). The final full structural model yielded an adequate fit (the CFI = .921, the TLI = .906, the RMSEA = .067, χ2 = 345.48, df = 128, p &lt; .05). Among the sample of Japanese immigrants, demographic variables, including gender, English proficiency, and lengths of stay in the United States were not associated with flourishing. Those with higher social capital were more likely to experience higher acculturation to American society (β = .531, p &lt; .05) as well as flourishing (β = .494, p &lt; .05). Higher acculturation to American society predicted higher flourishing (β = .264, p &lt; .05). The intervening effect of acculturation was found in the relationship between social capital and flourishing. That is, those with higher social capital were more likely to be acculturated to American society, in turn, experienced higher flourishing. The positive approach is useful in understanding immigrant and sojourner adaptation because it takes a person-in-environment perspective that values the effect of social interactions on individuals’ optimal wellbeing. The findings of the study yielded several important implications for social workers working with immigrants and sojourners. Social workers can promote wellbeing by helping them strengthen their existing social ties and to create new relationships that are mediated by both face-to-face and online contacts. Expanded social capital will enhance better acculturation to American society, which encourages better flourishing among Japanese immigrants and sojourners. For ever-growing global society, it is of great importance to examine immigration as positive experiences for both immigrants and the nation that welcomes them. (PsycINFO Database Record (c) 2016 APA, all rights reserved)</t>
  </si>
  <si>
    <t>http://search.ebscohost.com.proxy-ub.rug.nl/login.aspx?direct=true&amp;db=psyh&amp;AN=2011-99010-520&amp;site=ehost-live&amp;scope=site</t>
  </si>
  <si>
    <t>Flourishing among Japanese immigrants: A positive approach to understanding psychosocial adaptation.</t>
  </si>
  <si>
    <t>2014-11036-005</t>
  </si>
  <si>
    <t>10.1080/10911359.2013.831008</t>
  </si>
  <si>
    <t>Acculturation; Adaptation; Immigration; Social Capital; Psychosocial Factors; Social Acceptance; Socialization; Adulthood (18 yrs &amp; older); Male; Female</t>
  </si>
  <si>
    <t>Immigration can be an opportunity-maximizing and resource-creating process for immigrants. This cross-sectional survey study examined flourishing, the optimal state of psychosocial adaptation, in relation to social capital and acculturation, among a sample of 380 Japanese immigrants who lived in Texas. The study revealed that well-acculturated Japanese immigrants who enjoy U.S. culture and traditions as well as have more online and face-to-face contacts were more likely to have higher levels of flourishing. The findings have practical implications for social work practice in terms of the use of immigrants’ social capital to enhance their acculturation process and enable them to flourish. (PsycINFO Database Record (c) 2017 APA, all rights reserved)</t>
  </si>
  <si>
    <t>http://search.ebscohost.com.proxy-ub.rug.nl/login.aspx?direct=true&amp;db=psyh&amp;AN=2014-11036-005&amp;site=ehost-live&amp;scope=site</t>
  </si>
  <si>
    <t>Food insecurity among Cambodian refugee women two decades post resettlement.</t>
  </si>
  <si>
    <t>Peterman, Jerusha Nelson; Wilde, Parke E.; Silka, Linda; Bermudez, Odilia I.; Rogers, Beatrice Lorge</t>
  </si>
  <si>
    <t>2013-09569-018</t>
  </si>
  <si>
    <t>10.1007/s10903-012-9704-5</t>
  </si>
  <si>
    <t>Emotional Security; Food; Health Attitudes; Refugees; Food Insecurity; Acculturation; Human Females; Adulthood (18 yrs &amp; older); Thirties (30-39 yrs); Middle Age (40-64 yrs); Aged (65 yrs &amp; older); Female</t>
  </si>
  <si>
    <t>Resettled refugees have high rates of chronic disease, which may be partially due to persistent food insecurity. This study describes food experiences on arrival in the U.S. and current food security status and examines characteristics related to food insecurity in a well-established refugee community. Focus groups and a survey assessed food security status and personal characteristics of Cambodian women in Lowell, MA, USA. Multivariate logistic regression was used to examine relationships with food insecurity. Current rates of food insecurity are high. In multivariate models, food insecurity was positively associated with being depressed and being widowed, and negatively associated with higher income and acculturation. Early arrivers (1980s) had difficulty in the U.S. food system on arrival, while later arrivers (1990s–2000s) did not. Refugee agencies should consider strategically devoting resources to ensure successful early transition to the U.S. food environment and long-term food security of refugees. (PsycInfo Database Record (c) 2020 APA, all rights reserved)</t>
  </si>
  <si>
    <t>http://search.ebscohost.com.proxy-ub.rug.nl/login.aspx?direct=true&amp;db=psyh&amp;AN=2013-09569-018&amp;site=ehost-live&amp;scope=site</t>
  </si>
  <si>
    <t>Food insecurity, cigarette smoking, and acculturation among Latinos: Data from NHANES 1999–2008.</t>
  </si>
  <si>
    <t>Iglesias-Rios, Lisbeth; Bromberg, Julie E.; Moser, Richard P.; Augustson, Erik M.</t>
  </si>
  <si>
    <t>2015-13114-005</t>
  </si>
  <si>
    <t>10.1007/s10903-013-9957-7</t>
  </si>
  <si>
    <t>Acculturation; Food; Risk Factors; Tobacco Smoking; Food Insecurity; Mexican Americans; Adulthood (18 yrs &amp; older); Young Adulthood (18-29 yrs); Thirties (30-39 yrs); Middle Age (40-64 yrs); Male; Female</t>
  </si>
  <si>
    <t>Prevalence of food insecurity (FI) among Latinos in the United States is almost double the national average. To better understand FI among Latinos, potential risk factors beyond poverty, including acculturation indicators and smoking status, were explored. Cross-sectional data from 6,681 Latino adults from the 1999–2008 National Health and Nutrition Examination Surveys were used. Partial proportional odds (PPO) models were used to estimate associations of FI, including cigarette smoking and acculturation. The PPO models indicated that compared with never smokers, current smokers had significantly higher odds of FI (odds ratios ranged from 1.32 to 1.51 across models). Lower levels of acculturation and poverty and being a younger or middle-aged adult were also significantly associated with FI. Among Latinos, current smoking and low acculturation are important risk factors for FI. Current smoking and low acculturation may exacerbate nutritional deprivation in a population that is already disproportionally affected by poverty and poor health outcomes. (PsycInfo Database Record (c) 2020 APA, all rights reserved)</t>
  </si>
  <si>
    <t>http://search.ebscohost.com.proxy-ub.rug.nl/login.aspx?direct=true&amp;db=psyh&amp;AN=2015-13114-005&amp;site=ehost-live&amp;scope=site</t>
  </si>
  <si>
    <t>Food insecurity: Its relationship to dietary intake and body weight among Somali refugee women in the United States.</t>
  </si>
  <si>
    <t>Dharod, Jigna M.; Croom, Jamar E.; Sady, Christine G.</t>
  </si>
  <si>
    <t>Journal of Nutrition Education and Behavior</t>
  </si>
  <si>
    <t>2013-01375-009</t>
  </si>
  <si>
    <t>10.1016/j.jneb.2012.03.006</t>
  </si>
  <si>
    <t>Body Mass Index; Body Weight; Diets; Food; Refugees; Human Females; Food Insecurity; Adulthood (18 yrs &amp; older); Thirties (30-39 yrs); Female</t>
  </si>
  <si>
    <t>Objective: To examine the association between food insecurity, dietary intake, and body mass index among Somali refugee women living in the United States. Methods: Cross-sectional study utilizing the snowball sampling method. Results: Most (67%) participants experienced some level of food insecurity, which was common among recent arrivals and those who spoke only Somali at home (P &lt; .05). Intake of meat and eggs was higher, whereas intake of fruits and vegetables was lower, among food insecure than secure participants. Food insecurity was positively related to overweight and obesity (odds ratio: 2.66; confidence interval: 1.25-5.69; P &lt; .01). Conclusions and Implications: Somali refugees experienced high levels of food insecurity upon resettlement. Poor dietary habits and the high overweight/obesity rate among insecure families call for future research in understanding what role family structure, cultural norms, and food preference play in predicting food security and dietary habits among Somali and overall African refugees in the United States. (PsycInfo Database Record (c) 2020 APA, all rights reserved)</t>
  </si>
  <si>
    <t>http://search.ebscohost.com.proxy-ub.rug.nl/login.aspx?direct=true&amp;db=psyh&amp;AN=2013-01375-009&amp;site=ehost-live&amp;scope=site</t>
  </si>
  <si>
    <t>Food Security and Child Hunger among Recently Resettled Liberian Refugees and Asylum Seekers: A Pilot Study.</t>
  </si>
  <si>
    <t>Hadley, Craig; Sellen, Daniel</t>
  </si>
  <si>
    <t>2006-12046-007</t>
  </si>
  <si>
    <t>10.1007/s10903-006-9007-9</t>
  </si>
  <si>
    <t>Acculturation; Child Welfare; Family; Hunger; Refugees; Economics; Food; Health Care Seeking Behavior; Immigration; Socioeconomic Status; Food Insecurity; Childhood (birth-12 yrs); Neonatal (birth-1 mo); Infancy (2-23 mo); Preschool Age (2-5 yrs); Adulthood (18 yrs &amp; older); Male; Female</t>
  </si>
  <si>
    <t>Little is known about the food insecurity situation among families resettled into the United States as part of the refugee resettlement program. This paper reports on a pilot study examining food insecurity among recently arrived refugee families (n = 33). Objectives were to evaluate the usefulness and feasibility of methods to assess the prevalence of food insecurity and child hunger, and to examine associations between child hunger and measures of socioeconomic status and measures of acculturation. Results indicated that 85% of households were food insecure, and 42% experienced child hunger. Hunger was more likely to be indicated in households using foods stamps, with lower income, and lower education. Hunger was also more likely to be indicated in households where the primary shopper experienced difficulty shopping and with language. Results are in broad agreement with those reported in other studies and highlight economic and information barriers to achieving food security. These data suggest that further study of food insecurity is warranted among recently resettled refugee communities resettled in the United States. (PsycInfo Database Record (c) 2020 APA, all rights reserved)</t>
  </si>
  <si>
    <t>http://search.ebscohost.com.proxy-ub.rug.nl/login.aspx?direct=true&amp;db=psyh&amp;AN=2006-12046-007&amp;site=ehost-live&amp;scope=site</t>
  </si>
  <si>
    <t>For a better life: The integration of Thai marriage, family, and labor migrants in Iceland.</t>
  </si>
  <si>
    <t>Bissat, Johanna Gisladottir</t>
  </si>
  <si>
    <t>2015-99130-299</t>
  </si>
  <si>
    <t>Decision Making; Employee Attitudes; Marriage; Human Females; Interpersonal Control; Adulthood (18 yrs &amp; older); Female</t>
  </si>
  <si>
    <t>In recent decades Thai women began coming to Iceland for a better life, whether by marrying an Icelandic man, reuniting with Thai family already in Iceland, or through employer sponsorship. These three means are termed the 'auspices of migration.' By 2006, however, Iceland’s policy of prioritizing workers from the European Economic Area made it nearly impossible for Thais and other non-Europeans to secure a work permit, leading to an increase in marriage-based migrations among this group. The main objective of this dissertation is to examine how the auspices of migration affect host country language skills and economic integration, the power and influence of Thai women in homes shared with Icelandic men, and reciprocal exchange networks between Thais and Icelanders. 858 Thai adults were living in Iceland at the time of the study, including 665 women. Fieldwork among this population took place over a period of 22 months. In my analyses I focus on qualitative interviews with factory workers, participant-observation in the Thai community, and quantitative survey data from a sample of 109 Thai women. Results have shown that women who came to Iceland under the auspices of an employer had the best Icelandic language skills of all three groups of women, and as a result they also had better economic outcomes than those who came by other means. Additionally, employer-sponsored migrants reported belonging to more egalitarian households with less-traditional divisions of labor and more equitable distributions of decision-making power. In contrast, migrants sponsored by an Icelandic spouse reported the highest levels of cross-ethnic exchanges when compared to those who came to Iceland under other auspices. Migrants sponsored by employers were far more likely to be limited to Thais-only in their exchange networks. These results suggest that the auspices of migration matter, and that Icelandic labor and migration policies constrain migrants’ choices in reaching Iceland. Such policies also condition the incentives and disincentives to linguistic, economic, cultural and social integration that migrants encounter upon arrival. (PsycINFO Database Record (c) 2016 APA, all rights reserved)</t>
  </si>
  <si>
    <t>http://search.ebscohost.com.proxy-ub.rug.nl/login.aspx?direct=true&amp;db=psyh&amp;AN=2015-99130-299&amp;site=ehost-live&amp;scope=site</t>
  </si>
  <si>
    <t>'For Us It Is Like Living in the Dark': Ethiopian Women's Experiences With Domestic Violence.</t>
  </si>
  <si>
    <t>Sullivan, Marianne; Senturia, Kirsten; Negash, Tigist; Shiu-Thornton, Sharyne; Giday, Beruke</t>
  </si>
  <si>
    <t>2005-07327-003</t>
  </si>
  <si>
    <t>10.1177/0886260505277678</t>
  </si>
  <si>
    <t>Domestic Violence; Human Females; Immigration; Life Experiences; Acculturation; Female</t>
  </si>
  <si>
    <t>This article discusses the experiences of domestic violence among Ethiopian refugees and immigrants in the United States. A subset (n=18) of the larger study sample (N = 254) participated in three focus groups with Amharic-speaking survivors of domestic violence who were currently in or had left abusive relationships. The research was conducted through a public health department, University, and community agency partnership. Findings show domestic violence as taking place within a context of immigration, acculturation, and rapid changes in family and social structure. Participants expressed a need for language and culture-specific domestic violence support and advocacy as well as education programs regarding U.S. laws and resources. (PsycINFO Database Record (c) 2016 APA, all rights reserved)</t>
  </si>
  <si>
    <t>http://search.ebscohost.com.proxy-ub.rug.nl/login.aspx?direct=true&amp;db=psyh&amp;AN=2005-07327-003&amp;site=ehost-live&amp;scope=site</t>
  </si>
  <si>
    <t>Former Soviet Union immigrant and native-born adolescents in Israel: Substance use and related problem behavior.</t>
  </si>
  <si>
    <t>Isralowitz, Richard E.; Reznik, Alexander</t>
  </si>
  <si>
    <t>2007-07214-008</t>
  </si>
  <si>
    <t>10.1300/J233v06n01_08</t>
  </si>
  <si>
    <t>Acculturation; Adolescent Attitudes; Behavior Problems; Drug Usage; Immigration; At Risk Populations; Adolescence (13-17 yrs); Male</t>
  </si>
  <si>
    <t>Studies on immigration and adolescence show that youth experience a variety of emotional and cognitive adjustments as well as conflicts related to acculturation and the realities of life in their new country. Such conditions place many of them at increased risk for psychosocial problems including personal stress, interpersonal conflicts, mental illness, school failure, delinquency, substance use, and other risk-taking behavior. This prospective study compares the patterns of substance use and problem behaviors among 365 at-risk adolescents born in Israel and those who immigrated to that country from the Former Soviet Union. Findings show that Former Soviet Union youth tend to have higher levels of last 30-day alcohol and ecstasy use and binge drinking. Multiple regression shows binge drinking behavior related to trading property to obtain drugs; deterioration of school achievement; selling drugs; and time spent when being absent from school and hanging around during the day. Country of origin was not found related to this behavior. Further research is needed to study substance use and related problem behavior among immigrant youth controlling for the impact of acculturation and other factors. (PsycINFO Database Record (c) 2016 APA, all rights reserved)</t>
  </si>
  <si>
    <t>http://search.ebscohost.com.proxy-ub.rug.nl/login.aspx?direct=true&amp;db=psyh&amp;AN=2007-07214-008&amp;site=ehost-live&amp;scope=site</t>
  </si>
  <si>
    <t>Found in translation: A review of the clinical and conceptual links between immigration and psychosis.</t>
  </si>
  <si>
    <t>Burns, Kelly M.</t>
  </si>
  <si>
    <t>2015-99060-233</t>
  </si>
  <si>
    <t>Anthropology; Etiology; Immigration; Insight; Literature; Psychosis</t>
  </si>
  <si>
    <t>This dissertation reviews the literature on psychosis in immigrant populations, using insights from anthropology, postcolonial theory, and related philosophical disciplines to present immigration and psychosis as liminal states with both conceptual and concrete connections. The last 15 years have seen a growth in research demonstrating increased rates of psychosis in migrant populations around the world, and in derivative literature exploring etiological hypotheses that might explain this disparity. The current study notes an absence in this literature of acknowledgement of the central role that culture, language, and transitional states play in both immigration and psychosis, which hampers a full and clinically useful understanding of what happens when these processes co-occur. To augment the literature, the author surveys topics such as anthropology's revisions to the concept of acculturation, postcolonial theories of cultural encounter and evolution, poststructuralist theories of language and meaning, and deconstructionist analysis of xenophobia's influence in the historical development of psychosis as a diagnosis, applying these to a more nuanced appreciation of the convergence of migration and psychosis. The review concludes explaining how interdisciplinary perspectives might play a larger role in guiding clinical research and training, and might allow for ways of thinking about psychosis that both improve patient care and help propel academic discourse on language, culture, meaning, and psychosis, the great conundrums of psychiatry and philosophy. (PsycINFO Database Record (c) 2016 APA, all rights reserved)</t>
  </si>
  <si>
    <t>http://search.ebscohost.com.proxy-ub.rug.nl/login.aspx?direct=true&amp;db=psyh&amp;AN=2015-99060-233&amp;site=ehost-live&amp;scope=site</t>
  </si>
  <si>
    <t>Frailty in older-age European migrants: Cross-sectional and longitudinal analyses of the Survey of Health, Aging and Retirement in Europe (SHARE).</t>
  </si>
  <si>
    <t>Walkden, G. J.; Anderson, E. L.; Vink, M. P.; Tilling, K.; Howe, L. D.; Ben-Shlomo, Y.</t>
  </si>
  <si>
    <t>2018-44187-002</t>
  </si>
  <si>
    <t>10.1016/j.socscimed.2018.07.033</t>
  </si>
  <si>
    <t>Acculturation; Aging; Health Impairments; Human Migration; Health Care Policy; Gerontology; Retirement; Test Construction; Adulthood (18 yrs &amp; older); Middle Age (40-64 yrs); Aged (65 yrs &amp; older); Male; Female</t>
  </si>
  <si>
    <t>Frailty correlates with morbidity and is superior to chronological age in predicting mortality. Frailty of older migrants has important implications for the demands placed on healthcare systems. Examining 95,635 Europeans in the Survey of Health, Aging and Retirement in Europe, we investigated cross-sectional and longitudinal associations between migration and frailty at ages &gt; 50 years. We examined whether associations differed by countries' level of healthcare coverage and access for migrants and tested mediation by home-ownership and citizenship. Cross-sectionally, first-generation migrants &gt; 50 years old were, on average, 16.4% (95% confidence interval [CI]: 14.6, 18.2%) frailer than non-migrants after confounder-adjustment. This decreased to 12.1% (95% CI: 10.1, 14.1%) after adjustment for citizenship. The strength of association between migrant status and frailty was greater in migrants from low-or-middle-income countries, compared with migrants from high-income countries. Migrants into Northern, Western and Eastern Europe were 37.3% (95% CI: 33.2, 41.5%), 12.2% (95% CI: 10.0, 14.6%) and 5.0% (95% CI: 0.5, 9.6%) frailer than non-migrants, respectively, but migrants into Southern Europe were no frailer than non-migrants. The strength of association between migrant status and frailty was greater in countries with lower healthcare coverage and access for migrants. However, citizenship attenuated this difference. Longitudinally, migrants were frailer than non-migrants at 50 years old and trajectories converged over time until migrants and non-migrants were equally frail by 80–90 years. Our work finds no evidence of the ‘healthy migrant effect’ outside of Southern Europe in older migrants and suggests that acculturation is a key determinant of migrant health. (PsycInfo Database Record (c) 2020 APA, all rights reserved)</t>
  </si>
  <si>
    <t>http://search.ebscohost.com.proxy-ub.rug.nl/login.aspx?direct=true&amp;db=psyh&amp;AN=2018-44187-002&amp;site=ehost-live&amp;scope=site</t>
  </si>
  <si>
    <t>From a world away to living next door: The residential segregation and attainment of America's newest immigrants.</t>
  </si>
  <si>
    <t>Hall, Matthew S.</t>
  </si>
  <si>
    <t>1-A</t>
  </si>
  <si>
    <t>2011-99130-332</t>
  </si>
  <si>
    <t>Achievement; Immigration; Neighborhoods; Social Issues</t>
  </si>
  <si>
    <t>As the immigrant population in the U.S. swells in size and expands across the geographic landscape, virtually every aspect of contemporary social life is being transformed, influencing natives' job prospects, the challenges faced by local schools, and America's ethnic mix and cultural identity. These and other issues are closely related to immigrant settlement patterns across U.S. neighborhoods. Understanding immigrants' imprint on the residential landscape is thus central to broader debates over how immigration impacts American life and how immigrants fare in their new home. This dissertation seeks to address this important topic by providing a detailed, yet comprehensive account of new immigrants' residential circumstances. Specifically, I use neighborhood-level data from Census 2000 and household-level data from the American Housing Survey to explore patterns and correlates of residential segregation and attainment for ten new immigrant groups. In sum, I find that the assimilation of new immigrants is clearly underway: Greater socioeconomic resources and acculturation are associated with greater proximity to native-born whites, lower residential isolation, higher-quality housing, and better neighborhoods. On the other hand, my research also points to a rigid racial/ethnic pattern with Asian immigrants being less segregated and occupying superior housing and neighborhood environments than Latin American and Caribbean immigrants. The extraordinarily high levels of segregation for black immigrants are especially disturbing and indicate the continued relevance of the principle of black exceptionalism. I also show that the fairly high levels of immigrant group segregation in established metropolitan areas are being reproduced in new and nongateway metropolitan destinations. Despite some of these troubling patterns, my analysis generally suggests that immigrant segregation does not translate into poor housing and neighborhood outcomes. While I do find that the odds of homeownership are lower for immigrants in segregated contexts, and that segregation is consistently detrimental for Mexican immigrants' residential attainment, segregation tends to have no effect or exerts positive ones on other measures of housing and neighborhood quality. All in all, this research points not just to the challenges faced by new arrivals in American residential life, but also to the clear signs that new immigrants are participating in the American Dream. (PsycINFO Database Record (c) 2016 APA, all rights reserved)</t>
  </si>
  <si>
    <t>http://search.ebscohost.com.proxy-ub.rug.nl/login.aspx?direct=true&amp;db=psyh&amp;AN=2011-99130-332&amp;site=ehost-live&amp;scope=site</t>
  </si>
  <si>
    <t>From China to the United States: Nutrition, diet and acculturation of Chinese employed in high-tech industries. Results from a web-based survey.</t>
  </si>
  <si>
    <t>Wang, Chunling</t>
  </si>
  <si>
    <t>2008-99040-295</t>
  </si>
  <si>
    <t>Acculturation; Business; Diets; Food Intake; Nutrition; Personnel; Adulthood (18 yrs &amp; older); Young Adulthood (18-29 yrs); Thirties (30-39 yrs); Middle Age (40-64 yrs)</t>
  </si>
  <si>
    <t>Background. Due to the fast development of economies in China and the great needs of professionals in the US, the population of highly educated young Chinese professionals working in high-tech industries has grown very fast in both countries. This population was suggested to have risk of consuming high energy and fat diet in both countries. Objectives. This study aimed to investigate the associations of dietary intake with nutrition knowledge, attitude, dietary self-efficacy and acculturation among Chinese working in high-tech industries in China and in the US. Methods. This study was a cross-sectional self-administered online survey. We studied 925 Chinese aged 20-45 years, who worked in high-tech industries and had at least a bachelor degree in four sub-groups: employees of Chinese companies in China; employees of American companies in China; Chinese-born immigrant in the US; and American-born Chinese in the US. A web-based questionnaire including a food frequency questionnaire (FFQ) was developed to assess total energy and fat intakes, nutrition knowledge, attitudes, dietary self-efficacy. Four domains of acculturation were assessed among Chinese in the US. Using these data, we compared the four sub-groups and tested the prediction model of dietary intake and BMI. Results. Our results showed that American-born Chinese participants consumed significantly higher energy and fat than the other three groups. Participants in the US had higher nutrition knowledge, attitude and self-efficacy than participants in China. Chinese-born immigrant men in the US had the highest nutrition knowledge and attitude and the lowest prevalence of overweight among the four study groups of men. The study results suggested that preferring Chinese food and Chinese leisure activity are predictors of lower energy and fat intake in Chinese-born immigrants. Conclusions. The Chinese-born immigrants showed significant advantages in nutrition knowledge, attitude, and dietary self-efficacy and had the lowest prevalence of overweight in men. American-born Chinese consumed the highest energy and fat among the four study groups even though their nutrition knowledge, attitude and self-efficacy were high. Future nutrition promotion programs should make use of these cultural and environmental differences when designing theses programs. The web-based survey method can be utilized in future nutrition research. (PsycINFO Database Record (c) 2016 APA, all rights reserved)</t>
  </si>
  <si>
    <t>http://search.ebscohost.com.proxy-ub.rug.nl/login.aspx?direct=true&amp;db=psyh&amp;AN=2008-99040-295&amp;site=ehost-live&amp;scope=site</t>
  </si>
  <si>
    <t>From neighbors to school friends? How adolescents’ place of residence relates to same-ethnic school friendships.</t>
  </si>
  <si>
    <t>Kruse, Hanno; Smith, Sanne; van Tubergen, Frank; Maas, Ineke</t>
  </si>
  <si>
    <t>2015-58224-013</t>
  </si>
  <si>
    <t>10.1016/j.socnet.2015.07.004</t>
  </si>
  <si>
    <t>Classmates; Ethnic Identity; Schools; Friendship; Neighborhoods; Social Integration; Adolescence (13-17 yrs); Male; Female</t>
  </si>
  <si>
    <t>This study examines to what extent adolescents’ place of residence is related to the opportunities and the preferences to befriend same-ethnic classmates. Analyzing 3345 students within 158 German and Dutch school classes, we find that sharing a neighborhood provides additional meeting opportunities to become friends in class as adolescents are likely to befriend classmates who live nearby them or who live nearby a friend of them (propinquity mechanism). However, this hardly explains why adolescent friendship networks in school classes tend to be ethnically homogeneous. Also, we find no convincing evidence that an adolescent's preference for same-ethnic friends in class varies with the share of outgroup members in his/her neighborhood (exposure mechanism). (PsycINFO Database Record (c) 2017 APA, all rights reserved)</t>
  </si>
  <si>
    <t>http://search.ebscohost.com.proxy-ub.rug.nl/login.aspx?direct=true&amp;db=psyh&amp;AN=2015-58224-013&amp;site=ehost-live&amp;scope=site</t>
  </si>
  <si>
    <t>From segregation to intergroup contact and back: Using experiments and simulation to understand the bidirectional link.</t>
  </si>
  <si>
    <t>Schlueter, Elmar; Ullrich, Johannes; Glenz, Andreas; Schmidt, Peter</t>
  </si>
  <si>
    <t>2017-51525-001</t>
  </si>
  <si>
    <t>10.1002/ejsp.2284</t>
  </si>
  <si>
    <t>Intergroup Dynamics; Social Integration; Immigration; Prejudice; Simulation; Test Construction; Adulthood (18 yrs &amp; older)</t>
  </si>
  <si>
    <t>Research on intergroup contact has mostly viewed desegregation as a necessary condition for contact to unfold its power to reduce prejudice. Through residential and school choices, however, prejudice also contributes to segregation. To shed light on this bidirectional link, we conducted two survey‐based experiments with stratified quota samples of German adults. In Study 1, respondents with less contact and more prejudice indicated a lower likelihood of renting an apartment in a neighborhood with a larger proportion of minority members, although housing quality and crime rate were held constant. In Study 2, similar results were obtained for the likelihood of enrolling their child at a school with a larger proportion of minority students. Building on these results in a computer simulation, we find that because contact only reduces prejudice, but does not produce pro‐minority preferences, spontaneous desegregation is unlikely to occur even under the most favorable structural and economic conditions. (PsycINFO Database Record (c) 2018 APA, all rights reserved)</t>
  </si>
  <si>
    <t>http://search.ebscohost.com.proxy-ub.rug.nl/login.aspx?direct=true&amp;db=psyh&amp;AN=2017-51525-001&amp;site=ehost-live&amp;scope=site</t>
  </si>
  <si>
    <t>Further examining the role motivation to study abroad plays in the adaptation of international students in Canada.</t>
  </si>
  <si>
    <t>Chirkov, V.I.; Safdar, S.; de Guzman, J.; Playford, K.</t>
  </si>
  <si>
    <t>2008-11641-005</t>
  </si>
  <si>
    <t>10.1016/j.ijintrel.2007.12.001</t>
  </si>
  <si>
    <t>Adjustment; International Students; Motivation; Self-Determination; Study Abroad; Adaptation; Student Attitudes; Adolescence (13-17 yrs); Adulthood (18 yrs &amp; older); Young Adulthood (18-29 yrs); Thirties (30-39 yrs); Middle Age (40-64 yrs); Male; Female</t>
  </si>
  <si>
    <t>We investigated the role self-determined motivation and the goals international students have for studying abroad play in the adaptation of international students. We studied samples of international students from three Canadian Universities at the beginning of an academic year (N = 228) and at the end of the same year (N = 72). The results supported the hypotheses that autonomous motivation to study abroad is a predictor of students' various adjustment outcomes at different times of the academic year and that the preservation goals have a weaker negative effect upon the adjustment outcomes and this effect is relatively independent from the effect of autonomy. These results are consistent with the previous study of Chinese international students in Belgium and Canada [Chirkov, V.I., Vansteenkiste, M., Tao, R., &amp; Lynch, M. (2006). The role of motivation to study abroad in the adaptation of international students: A self-determination theory approach. International Journal of Intercultural Relations, 31(2), 199-222]. The role that gender, marital status and country of origin play in moderating these relations is also studied and discussed. The main conclusion further justifies the importance of motivation in understanding the adjustment dynamics of various groups of migrants. (PsycINFO Database Record (c) 2016 APA, all rights reserved)</t>
  </si>
  <si>
    <t>http://search.ebscohost.com.proxy-ub.rug.nl/login.aspx?direct=true&amp;db=psyh&amp;AN=2008-11641-005&amp;site=ehost-live&amp;scope=site</t>
  </si>
  <si>
    <t>Gaps between immigrant spouses in host country language proficiency: Longitudinal effects on marital satisfaction.</t>
  </si>
  <si>
    <t>Kanat-Maymon, Yaniv; Sarid, Orly; Mor, Yaron; Mirsky, Julia; Slonim-Nevo, Vered</t>
  </si>
  <si>
    <t>The Journal of Psychology: Interdisciplinary and Applied</t>
  </si>
  <si>
    <t>2016-37030-007</t>
  </si>
  <si>
    <t>10.1080/00223980.2016.1196159</t>
  </si>
  <si>
    <t>Acculturation; Immigration; Language Proficiency; Marital Satisfaction; Adolescence (13-17 yrs); Adulthood (18 yrs &amp; older); Male; Female</t>
  </si>
  <si>
    <t>Research on immigration underscores the importance of language acculturation in successful adjustment to life in a new country. However, the profound impact of different levels of language proficiency between immigrant spouses on their married life is an understudied topic. The current study explores whether differences between immigrant spouses in host language proficiency predict marital satisfaction in their first four years in the host country. Using a three-wave longitudinal study, with intervals of one to two years, we collected data from 316 married couples who immigrated from the Former Soviet Union to Germany and Israel. Language proficiency and marital satisfaction were measured via self-report questionnaires. We conducted an Actor-Partner Interdependence Model analysis to control for dyadic and time data dependencies. The results indicate that differences between spouses in their host language proficiency predict marital dissatisfaction, and that this effect is exacerbated over time. These associations held across gender and host country. The findings are discussed in light of the gap-distress model. (PsycINFO Database Record (c) 2017 APA, all rights reserved)</t>
  </si>
  <si>
    <t>http://search.ebscohost.com.proxy-ub.rug.nl/login.aspx?direct=true&amp;db=psyh&amp;AN=2016-37030-007&amp;site=ehost-live&amp;scope=site</t>
  </si>
  <si>
    <t>Gender differences in factors associated with psychological distress among immigrants from low- and middle-income countries: Findings from the Oslo Health Study.</t>
  </si>
  <si>
    <t>Thapa, Suraj Bahadur; Hauff, Edvard</t>
  </si>
  <si>
    <t>2005-00221-012</t>
  </si>
  <si>
    <t>10.1007/s00127-005-0855-8</t>
  </si>
  <si>
    <t>Human Sex Differences; Immigration; Psychological Stress; Living Arrangements; Social Integration; Adulthood (18 yrs &amp; older); Thirties (30-39 yrs); Middle Age (40-64 yrs); Aged (65 yrs &amp; older); Male; Female</t>
  </si>
  <si>
    <t>Objective: Despite the high rate of migration from low- and middle-income countries to high-income countries, there is still a lack of comprehensive studies of gender-specific differences in psychological distress in a diverse group of immigrants. We compared psychological distress between male and female immigrants from low-and middle-income countries living in Oslo, and identified factors associated with distress for men and women, separately. Method: A cross-sectional survey with self-administered questionnaires was conducted among 1536 immigrants from low- and middle-income countries living in Oslo. The Hopkins Symptom Checklist (HSCL-10) was used to measure psychological distress. Data on their sociodemographic characteristics, negative and traumatic life events, and social integration and possible discrimination in the Norwegian society were also collected. Results: One-fourth of the study population was found to be psychologically distressed, with almost equal levels among men and women. Lack of salaried job and recent negative life events were independently associated with psychological distress for both genders. Furthermore, experience of denial of job and past traumatic experiences were other associated negative factors among men, while visits made by Norwegians appeared as a protective factor against distress among men. Older age, Middle East background, living without a partner, and experiencing denial of housing were other associated negative factors among women. Conclusion: Our findings show that, except for adverse living conditions, there are gender differences with regard to factors associated with psychological distress among immigrants living in Oslo. Such gender issues are relevant for assisting immigrants in the integration process as well as for future research in migration and health. (PsycINFO Database Record (c) 2019 APA, all rights reserved)</t>
  </si>
  <si>
    <t>http://search.ebscohost.com.proxy-ub.rug.nl/login.aspx?direct=true&amp;db=psyh&amp;AN=2005-00221-012&amp;site=ehost-live&amp;scope=site</t>
  </si>
  <si>
    <t>Gender differences in immigrant health: The case of Mexican and Middle Eastern immigrants.</t>
  </si>
  <si>
    <t>Read, Jen'nan Ghazal; Reynolds, Megan M.</t>
  </si>
  <si>
    <t>2012-05936-008</t>
  </si>
  <si>
    <t>10.1177/0022146511431267</t>
  </si>
  <si>
    <t>Cross Cultural Differences; Health; Human Sex Differences; Immigration; Health Disparities; Social Equality; Adulthood (18 yrs &amp; older); Young Adulthood (18-29 yrs); Thirties (30-39 yrs); Middle Age (40-64 yrs); Aged (65 yrs &amp; older); Male; Female</t>
  </si>
  <si>
    <t>This article draws on theories of gender inequality and immigrant health to hypothesize differences among the largest immigrant population, Mexicans, and a lesser known population of Middle Easterners. Using data from the 2000-2007 National Health Interview Surveys, we compare health outcomes among immigrants to those among U.S.-born whites and assess gender differences within each group. We find an immigrant story and a gender story. Mexican and Middle Eastern immigrants are healthier than U.S.-born whites, and men report better health than women regardless of nativity or ethnicity. We identify utilization of health care as a primary mechanism that contributes to both patterns. Immigrants are less likely than U.S.-born whites to interact with the health care system, and women are more likely to do so than men. Thus, immigrant and gender health disparities may partly reflect knowledge of health status rather than actual health. (PsycINFO Database Record (c) 2017 APA, all rights reserved)</t>
  </si>
  <si>
    <t>http://search.ebscohost.com.proxy-ub.rug.nl/login.aspx?direct=true&amp;db=psyh&amp;AN=2012-05936-008&amp;site=ehost-live&amp;scope=site</t>
  </si>
  <si>
    <t>Gender differences in stressors related to migration and acculturation in patients with psychiatric disorders and Turkish migration background.</t>
  </si>
  <si>
    <t>Müller, Matthias Johannes; Koch, Eckhardt</t>
  </si>
  <si>
    <t>2017-18207-014</t>
  </si>
  <si>
    <t>10.1007/s10903-016-0408-0</t>
  </si>
  <si>
    <t>Acculturation; Human Sex Differences; Immigration; Mental Disorders; Stress; Adulthood (18 yrs &amp; older); Young Adulthood (18-29 yrs); Thirties (30-39 yrs); Middle Age (40-64 yrs); Male; Female</t>
  </si>
  <si>
    <t>Migration, acculturation, and psychiatric disorders may cause stress and adaptation processes differently in men and women, but empirical research is scarce. In a retrospective study n = 62 Turkish migrants and n = 62 native German inpatients with depressive or anxiety disorders, matched for age, gender, and diagnoses, were compared using a 10-item instrument for the assessment of migration- and acculturation related stressors (MIGSTR10). Gender differences in the prevalence of stressors and in the total sum of stressors were calculated and compared between migrants and indigenous patients. Results showed a higher global stress level in migrants and in women than in men with migration background. Regarding single stressors, the perceived loss of status was significantly more prevalent and more pronounced in men than in women (P &lt; 0.05) whereas guilt feelings were more severe in women with Turkish migration background compared to men (P &lt; 0.05). Gender differences of perceived stress should be taken into account in migration and acculturation research. (PsycINFO Database Record (c) 2017 APA, all rights reserved)</t>
  </si>
  <si>
    <t>http://search.ebscohost.com.proxy-ub.rug.nl/login.aspx?direct=true&amp;db=psyh&amp;AN=2017-18207-014&amp;site=ehost-live&amp;scope=site</t>
  </si>
  <si>
    <t>Gender equity in Canada's newly growing religious minorities.</t>
  </si>
  <si>
    <t>Reitz, Jeffrey G.; Phan, Mai B.; Banerjee, Rupa</t>
  </si>
  <si>
    <t>2015-06070-002</t>
  </si>
  <si>
    <t>10.1080/01419870.2014.901546</t>
  </si>
  <si>
    <t>Acculturation; Human Sex Differences; Immigration; Minority Groups; Religious Groups; Diversity; Adulthood (18 yrs &amp; older); Young Adulthood (18-29 yrs); Thirties (30-39 yrs); Middle Age (40-64 yrs); Aged (65 yrs &amp; older); Male; Female</t>
  </si>
  <si>
    <t>Using data from the 2001 Canadian census and the 2002 Ethnic Diversity Survey, we find greater gender inequality in labour force participation among the newly growing religious minorities in Canada relative to mainstream Canadians. This gender inequality is only partly conditioned by the presence of young children. Although greatest among Muslim immigrants, other groups including Hindus and Sikhs also exhibit greater gender inequality in labour force participation relative to mainstream Canadians. These patterns fade with time in Canada. Lastly, the differences in gender inequality among religious groups reflect national cultures in the countries of origin more than differences in religious beliefs per se. (PsycINFO Database Record (c) 2016 APA, all rights reserved)</t>
  </si>
  <si>
    <t>http://search.ebscohost.com.proxy-ub.rug.nl/login.aspx?direct=true&amp;db=psyh&amp;AN=2015-06070-002&amp;site=ehost-live&amp;scope=site</t>
  </si>
  <si>
    <t>Gender, family, and community correlates of mental health in South Asian Americans.</t>
  </si>
  <si>
    <t>Masood, Nausheen; Okazaki, Sumie; Takeuchi, David T.</t>
  </si>
  <si>
    <t>2009-10166-007</t>
  </si>
  <si>
    <t>10.1037/a0014301</t>
  </si>
  <si>
    <t>Distress; Mental Disorders; Mental Health; Sociocultural Factors; South Asian Cultural Groups; Family Relations; Human Sex Differences; Immigration; Social Support; Status; Adulthood (18 yrs &amp; older); Male; Female</t>
  </si>
  <si>
    <t>Nationally representative data from the National Latino and Asian American Study (Alegría et al., 2004) was used to examine both disorder prevalence rates and correlates of distress for the South Asian American subgroup (n = 164). South Asian Americans generally appeared to have lower or comparable rates of lifetime and 12-month mood and anxiety disorders when compared with the overall Asian American sample. A multiple-regression model fitted to predict recent psychological distress, with 12-month diagnosis as a covariate, found gender differences. For women, lack of extended family support was related to higher levels of distress, whereas for men, greater conflict with family culture, and a lower community social position (but higher U.S. social position) predicted higher distress scores. Findings suggest that mental health services consider a broad framework of psychological functioning for South Asian Americans that reflect their gendered, familial, and sociopolitical realities. (PsycINFO Database Record (c) 2017 APA, all rights reserved)</t>
  </si>
  <si>
    <t>http://search.ebscohost.com.proxy-ub.rug.nl/login.aspx?direct=true&amp;db=psyh&amp;AN=2009-10166-007&amp;site=ehost-live&amp;scope=site</t>
  </si>
  <si>
    <t>Glucose control in Korean immigrants with type 2 diabetes.</t>
  </si>
  <si>
    <t>Choi, Sarah; Rankin, Sally</t>
  </si>
  <si>
    <t>2009-04187-007</t>
  </si>
  <si>
    <t>10.1177/0193945908328472</t>
  </si>
  <si>
    <t>Blood Sugar; Diabetes; Glucose; Immigration; Korean Cultural Groups; Type 2 Diabetes; Adulthood (18 yrs &amp; older); Thirties (30-39 yrs); Middle Age (40-64 yrs); Aged (65 yrs &amp; older); Male; Female</t>
  </si>
  <si>
    <t>Despite the rising incidence of type 2 diabetes in Korean immigrants, little is known about glucose control in these individuals. This descriptive study examined factors influencing glucose control in Korean immigrants with type 2 diabetes. Participants were 143 Korean immigrants with type 2 diabetes who completed questionnaires, a finger stick blood test for glycosylated hemoglobin (HbA1c), and anthropometric measures. The mean HbA1c level was 7.6 % (SD = 1.5; range = 5.6 to 12.5). Less than half of the participants (41.3%) met the American Diabetes Association's goal of less than 7%. After adjusting for demographic and health variables, family diet support, waist-to-hip ratio (WHR), the duration of diabetes, the number of diabetic medications, and age significantly influenced glucose control. Findings support the positive role of family involvement in diabetes management. Patients with long-standing diabetes, higher WHR, and more diabetic medications deserve special attention because they tend to have higher HbA1c levels. (PsycINFO Database Record (c) 2016 APA, all rights reserved)</t>
  </si>
  <si>
    <t>http://search.ebscohost.com.proxy-ub.rug.nl/login.aspx?direct=true&amp;db=psyh&amp;AN=2009-04187-007&amp;site=ehost-live&amp;scope=site</t>
  </si>
  <si>
    <t>Government Risk Management Priorities: A Comparison of the Preferences of Asian Indian Americans and Other Americans.</t>
  </si>
  <si>
    <t>Greenberg, Michael R.; Sinha, Reya</t>
  </si>
  <si>
    <t>2006-13485-012</t>
  </si>
  <si>
    <t>10.1111/j.1539-6924.2006.00815.x</t>
  </si>
  <si>
    <t>Government; Involvement; Preferences; Risk Management; South Asian Cultural Groups; Acculturation; Adulthood (18 yrs &amp; older); Young Adulthood (18-29 yrs); Thirties (30-39 yrs); Middle Age (40-64 yrs); Aged (65 yrs &amp; older); Male; Female</t>
  </si>
  <si>
    <t>A survey was conducted of approximately 200 Asian Indian Americans and 200 other residents of New Jersey in order to understand the risk management priorities that they want government to have. We found that Asian Indian Americans, especially younger women, focused on personal/family risks, such as alcohol and drug abuse, sexual abuse, and domestic violence. The New Jersey comparison group, in contrast, placed war/terrorism and loss of health care services and insurance at the top of their priorities for government. These results suggest stressful acculturation-related issues within the Asian Indian community. Both populations want more risk management from government than they believe government is currently providing. Respondents who wanted more from government tended to dread the risk, be fearful of the consequences, trust government, and have a feeling of personal efficacy. Within the Asian Indian American sample, wide variations were observed by language spoken at home and religious affiliation. Notably, Muslims and Hindi-language speakers tended not to trust government and hence wanted less government involvement. This study supports our call for studies of recent migrant populations and Johnson's for testing ethnic identity and acculturation as factors in risk judgments. (PsycINFO Database Record (c) 2016 APA, all rights reserved)</t>
  </si>
  <si>
    <t>http://search.ebscohost.com.proxy-ub.rug.nl/login.aspx?direct=true&amp;db=psyh&amp;AN=2006-13485-012&amp;site=ehost-live&amp;scope=site</t>
  </si>
  <si>
    <t>Greek immigrants in Australia: Implications for culturally sensitive practice.</t>
  </si>
  <si>
    <t>Georgiades, Savvas Daniel</t>
  </si>
  <si>
    <t>2015-41818-031</t>
  </si>
  <si>
    <t>10.1007/s10903-014-0128-2</t>
  </si>
  <si>
    <t>Acculturation; Adjustment; Cultural Sensitivity; Immigration; European Cultural Groups; Cross Cultural Differences; Economics; Adulthood (18 yrs &amp; older); Young Adulthood (18-29 yrs); Thirties (30-39 yrs); Middle Age (40-64 yrs); Aged (65 yrs &amp; older); Male; Female</t>
  </si>
  <si>
    <t>This exploratory research examined adjustment challenges, resiliencies, attitudes, emotional health, economic stability, criminal involvement, victimization and service experiences, and some cultural propensities of Greek Immigrants (GIs) in Australia using a convenient multi-generational sample (n = 123; response rate = .5). Data were collected via surveys, telephone, and personal-interviews in four major Australian cities. Among other things, the study revealed that Greek identity and cultural customs are often significant to first generation GIs. Adjustment challenges upon entry include primarily language, housing, and transportation difficulties, nostalgia for relatives and the motherland, unfamiliarity with socio-cultural systems, unemployment, money challenges, and lack of friendships. Christian faith, the extended family, family values and traditions, cultural pride for ancient Greek achievements, and a hard ‘work ethic’ are notable resiliencies that support GIs in their struggles and solidify their pursuit for happiness and success. Financial concerns, aging, and nostalgia for relatives and the motherland were the primary causes of socio-emotional instability. Attitudinal differences in the respondents based on age, gender, and socio-economic status, cross-cultural comparisons, and recommendations for culturally-sensitive practice with GIs are analyzed and methodological limitations illuminated. Future research needs in the field are also highlighted. (PsycINFO Database Record (c) 2016 APA, all rights reserved)</t>
  </si>
  <si>
    <t>http://search.ebscohost.com.proxy-ub.rug.nl/login.aspx?direct=true&amp;db=psyh&amp;AN=2015-41818-031&amp;site=ehost-live&amp;scope=site</t>
  </si>
  <si>
    <t>Green advertising and behavior: Non-Hispanics vs. acculturating Hispanics.</t>
  </si>
  <si>
    <t>Segev, Sigal</t>
  </si>
  <si>
    <t>Communicating sustainability for the green economy.</t>
  </si>
  <si>
    <t>2013-39749-007</t>
  </si>
  <si>
    <t>M E Sharpe</t>
  </si>
  <si>
    <t>Acculturation; Advertising; Environmental Attitudes; Latinos/Latinas; Cognitive Processes; Communication; Consumer Behavior; Immigration; Indigenous Populations; Marketing; Social Influences; Sustainable Development</t>
  </si>
  <si>
    <t>This chapter proposes an associative model for understanding non-Hispanic, native-born, and Hispanic immigrant consumers' green behaviors and the drivers influencing them, across various levels of acculturation, with three primary objectives. First, the chapter identifies the cognitive factors that can be associated with pro-environmental behaviors. Second, it explores whether differences exist among mainstream consumers as opposed to Hispanic consumers with respect to these factors and the resulting environmental behaviors, while acknowledging the role of acculturation in determining their extent. Third, by examining the role of environmental awareness and the perceived influence of green advertising on a series of pro-environmental behaviors, this study may shed light on the effectiveness of communicating information about environmental issues in changing actual behaviors. These findings may provide some preliminary insights for advertising and marketing professionals about the potential responsiveness of various consumer groups to green promotions and help facilitate future communication practices directed at each group. (PsycInfo Database Record (c) 2020 APA, all rights reserved)</t>
  </si>
  <si>
    <t>http://search.ebscohost.com.proxy-ub.rug.nl/login.aspx?direct=true&amp;db=psyh&amp;AN=2013-39749-007&amp;site=ehost-live&amp;scope=site</t>
  </si>
  <si>
    <t>Growing pains and fear of gangs: A case study of fear of gangs at school among Hispanic high school students.</t>
  </si>
  <si>
    <t>Applied Psychology in Criminal Justice</t>
  </si>
  <si>
    <t>2010-15706-002</t>
  </si>
  <si>
    <t>Prescient Press</t>
  </si>
  <si>
    <t>Crime; Fear; High School Students; School Violence; Immigration; Gangs; Latinos/Latinas; Adolescence (13-17 yrs); Male; Female</t>
  </si>
  <si>
    <t>This study provides an analysis of survey data on student fear of gangs and gang-related crime at school obtained from Hispanic high school students who reside in an area with a predominantly Hispanic and large immigrant population. Consistent with prior research on fear of crime, regression analyses of the data indicate that acculturation, gender, and victimization are significantly correlated with fear of gangs and/or fear of gang-related crime. Specifically, the analyses indicate that youths with limited acculturation are more fearful of gang-related school violence than well acculturated youths, that fear of gang members and gang-related theft is higher among females than among males, and that students who have been victimized are more concerned about gang-related victimization than are students who have not been victimized. The data also suggest there may be temporally and geographically specific dimensions to the relationship between victimization and fear of gang-related crime. The theoretical, methodological, and policy implications are discussed. (PsycINFO Database Record (c) 2016 APA, all rights reserved)</t>
  </si>
  <si>
    <t>http://search.ebscohost.com.proxy-ub.rug.nl/login.aspx?direct=true&amp;db=psyh&amp;AN=2010-15706-002&amp;site=ehost-live&amp;scope=site</t>
  </si>
  <si>
    <t>Happiness among Portuguese and Indian adolescents from immigrant families in Portugal.</t>
  </si>
  <si>
    <t>Neto, Félix; da Conceição Pinto, Maria</t>
  </si>
  <si>
    <t>2010-12421-007</t>
  </si>
  <si>
    <t>10.1080/17542861003693607</t>
  </si>
  <si>
    <t>Acculturation; Adolescent Attitudes; Happiness; Immigration; Mental Health; Demographic Characteristics; Adolescence (13-17 yrs); Adulthood (18 yrs &amp; older); Young Adulthood (18-29 yrs); Male; Female</t>
  </si>
  <si>
    <t>This study examined the level of happiness among adolescents whose families are from India, in comparison to Portuguese adolescents who did not go through an acculturation process. It also examined if happiness can be predicted by demographic and mental health factors. There were 542 adolescent participants. Of these, 366 were Portuguese and 175 belonged to families coming from India. The participants completed the Oxford Happiness Inventory, the Revised UCLA Loneliness Scale, the Satisfaction With Life Scale and a short biographical form. The hypotheses were partially supported. Indian adolescents from an immigrant background living in Portugal showed more happiness than Portuguese adolescents. Psychological constructs (self-esteem, satisfaction with life and loneliness) were more important in the prediction of happiness than the sociodemographic variables. With immigrant youth showing good psychological adaptation, our study lends further support to several studies from the USA suggesting that immigrant children generally adapt well and in some cases better than their national peers. (PsycINFO Database Record (c) 2016 APA, all rights reserved)</t>
  </si>
  <si>
    <t>http://search.ebscohost.com.proxy-ub.rug.nl/login.aspx?direct=true&amp;db=psyh&amp;AN=2010-12421-007&amp;site=ehost-live&amp;scope=site</t>
  </si>
  <si>
    <t>Health and humanitarian migrants' economic participation.</t>
  </si>
  <si>
    <t>Khoo, Siew-Ean</t>
  </si>
  <si>
    <t>2010-08843-007</t>
  </si>
  <si>
    <t>10.1007/s10903-007-9098-y</t>
  </si>
  <si>
    <t>Economics; Immigration; Mental Health; Prosocial Behavior; Refugees; Adolescence (13-17 yrs); Adulthood (18 yrs &amp; older); Young Adulthood (18-29 yrs); Thirties (30-39 yrs); Middle Age (40-64 yrs); Male; Female</t>
  </si>
  <si>
    <t>Refugees and immigrants being resettled in Australia on humanitarian grounds are known to have poorer health than other immigrants. Using data from the Longitudinal Surveys of Immigrants to Australia, the paper examines the influence of three measures of health—self-reported health status, the presence of a long-term health condition and mental health status—on the economic participation of humanitarian migrants. Multivariate logistic regression is used to control for other factors known to affect immigrants’ economic participation, such as age, skills and English language proficiency, to see if health has an independent effect. The results show that migrants with poor physical health are less likely than migrants with good health to be in the work force. Mental health status affects the economic participation of male but not female migrants. The findings provide important empirical evidence of the significant role of health in the economic integration of migrants of refugee background. (PsycINFO Database Record (c) 2016 APA, all rights reserved)</t>
  </si>
  <si>
    <t>http://search.ebscohost.com.proxy-ub.rug.nl/login.aspx?direct=true&amp;db=psyh&amp;AN=2010-08843-007&amp;site=ehost-live&amp;scope=site</t>
  </si>
  <si>
    <t>Health assimilation among Hispanic immigrants in the United States: The impact of ignoring arrival-cohort effects.</t>
  </si>
  <si>
    <t>Hamilton, Tod G.; Palermo, Tia; Green, Tiffany L.</t>
  </si>
  <si>
    <t>2015-56067-003</t>
  </si>
  <si>
    <t>10.1177/0022146515611179</t>
  </si>
  <si>
    <t>Acculturation; Health Behavior; Immigration; Self-Evaluation; Latinos/Latinas; Adulthood (18 yrs &amp; older); Young Adulthood (18-29 yrs); Thirties (30-39 yrs); Middle Age (40-64 yrs); Male; Female</t>
  </si>
  <si>
    <t>A large literature has documented that Hispanic immigrants have a health advantage over their U.S.-born counterparts upon arrival in the United States. Few studies, however, have disentangled the effects of immigrants’ arrival cohort from their tenure of U.S. residence, an omission that could produce imprecise estimates of the degree of health decline experienced by Hispanic immigrants as their U.S. tenure increases. Using data from the 1996-to-2014 waves of the March Current Population Survey, we show that the health (i.e., self-rated health) of Hispanic immigrants varies by both arrival cohort and U.S. tenure for immigrants hailing from most of the primary sending countries/regions of Hispanic immigrants. We also find evidence that acculturation plays an important role in determining the health trajectories of Hispanic immigrants. With respect to self-rated health, however, our findings demonstrate that omitting arrival-cohort measures from health assimilation models may result in overestimates of the degree of downward health assimilation experienced by Hispanic immigrants. (PsycINFO Database Record (c) 2017 APA, all rights reserved)</t>
  </si>
  <si>
    <t>http://search.ebscohost.com.proxy-ub.rug.nl/login.aspx?direct=true&amp;db=psyh&amp;AN=2015-56067-003&amp;site=ehost-live&amp;scope=site</t>
  </si>
  <si>
    <t>Health beliefs, acculturation and tobacco use among arab-americans living in california.</t>
  </si>
  <si>
    <t>Azar, Najood G.</t>
  </si>
  <si>
    <t>2009-99160-303</t>
  </si>
  <si>
    <t>Acculturation; Attitudes; Health; Tobacco Smoking; Adulthood (18 yrs &amp; older)</t>
  </si>
  <si>
    <t>Tobacco use is prevalent in the Middle East, and relatively, high rates of smoking behaviors are reported in the immigrant populations from this region. This study examined tobacco use in association with health beliefs and acculturation status among a convenience sample (N=132) of Arab-Americans over age 18 residing in California. A cross-sectional descriptive correlational design was employed and data collection included the following instruments: the Health Belief Questionnaire; Acculturating Rating Scale for Arab-American-II; Tobacco Use Questionnaire; plus a brief demographic survey. An integrative model of the Health Belief Model and Berry's Acculturation Model guided this study. Results showed that despite the increase in subjects' general health concern, tobacco use was still high. Subjects reported that barriers surrounding tobacco cessation were greater than the benefits of quitting, and those with lower levels of acculturation had higher levels of tobacco use regardless of duration of residency. The data supported the hypothesis that culture plays an important role in smoking behavior and health motivation. The Arab culture emphasizes both fatalism and reliance on God's will, but disease prevention programs in the US emphasize the individual's role in health promotion. Thus, culturally-sensitive tobacco cessation programs should be tailored to meet the needs of this high risk population. (PsycINFO Database Record (c) 2016 APA, all rights reserved)</t>
  </si>
  <si>
    <t>http://search.ebscohost.com.proxy-ub.rug.nl/login.aspx?direct=true&amp;db=psyh&amp;AN=2009-99160-303&amp;site=ehost-live&amp;scope=site</t>
  </si>
  <si>
    <t>Health disparities among immigrant and non-immigrant elders: The association of acculturation and education.</t>
  </si>
  <si>
    <t>Lum, Terry Y.; Vanderaa, Julianne P.</t>
  </si>
  <si>
    <t>2010-18128-016</t>
  </si>
  <si>
    <t>10.1007/s10903-008-9225-4</t>
  </si>
  <si>
    <t>Acculturation; Ethnic Identity; Human Capital; Immigration; Health Disparities; Education; Gerontology; Mental Health; Adulthood (18 yrs &amp; older); Aged (65 yrs &amp; older); Male; Female</t>
  </si>
  <si>
    <t>Guided by the theories of human capital and acculturation, this study investigated the association of immigrant status among older people with their physical and mental health outcomes, health services utilization, and health insurance coverage. Specifically, it examined the interactive effects of immigrant status, education, acculturation, race, and ethnicity on these dependent variables. The study used a national representation sample of 7,345 older Americans from the first wave of the Asset and Health Dynamic of the Oldest Old study (AHEAD) survey. We used both logistic regression and ordered logit regression for our multivariate analyses. The findings are as follows: (1) immigrant status was negatively associated with level of depression, number of IADL difficulties, and on types of health insurance coverage. Immigrant status had a significant relationship only with the utilization of outpatient surgery, but not on other health services utilization. (2) There were significant interactive effects of race and ethnicity and immigrant status on these dependent variables. The findings support the existence of double jeopardy among those who are simultaneously an immigrant and a member of a racial and ethnic minority group in the United States. (3) Acculturation has strong associations with health insurance coverage and with number of difficulties with IADL. (PsycINFO Database Record (c) 2016 APA, all rights reserved)</t>
  </si>
  <si>
    <t>http://search.ebscohost.com.proxy-ub.rug.nl/login.aspx?direct=true&amp;db=psyh&amp;AN=2010-18128-016&amp;site=ehost-live&amp;scope=site</t>
  </si>
  <si>
    <t>Health literacy, acculturation, and the use of preventive oral health care by Somali refugees living in Massachusetts.</t>
  </si>
  <si>
    <t>Geltman, Paul L.; Adams, Jo Hunter; Penrose, Katherine L.; Cochran, Jennifer; Rybin, Denis; Doros, Gheorghe; Henshaw, Michelle; Paasche-Orlow, Michael</t>
  </si>
  <si>
    <t>2014-29413-008</t>
  </si>
  <si>
    <t>10.1007/s10903-013-9846-0</t>
  </si>
  <si>
    <t>Acculturation; Health Knowledge; Prevention; Health Literacy; Refugees; Oral Health; Adulthood (18 yrs &amp; older); Male; Female</t>
  </si>
  <si>
    <t>This study investigated the impact of English health literacy and spoken proficiency and acculturation on preventive dental care use among Somali refugees in Massachusetts. 439 adult Somalis in the US ≤ 10 years were interviewed. English functional health literacy, dental word recognition, and spoken proficiency were measured using STOFHLA, REALD, and BEST Plus. Logistic regression tested associations of language measures with preventive dental care use. Without controlling for acculturation, participants with higher health literacy were 2.0 times more likely to have had preventive care (P = 0.02). Subjects with higher word recognition were 1.8 times as likely to have had preventive care (P = 0.04). Controlling for acculturation, these were no longer significant, and spoken proficiency was not associated with increased preventive care use. English health literacy and spoken proficiency were not associated with preventive dental care. Other factors, like acculturation, were more predictive of care use than language skills. (PsycINFO Database Record (c) 2016 APA, all rights reserved)</t>
  </si>
  <si>
    <t>http://search.ebscohost.com.proxy-ub.rug.nl/login.aspx?direct=true&amp;db=psyh&amp;AN=2014-29413-008&amp;site=ehost-live&amp;scope=site</t>
  </si>
  <si>
    <t>Health selection among new immigrants.</t>
  </si>
  <si>
    <t>Akresh, Ilana Redstone; Frank, Reanne</t>
  </si>
  <si>
    <t>2008-15003-017</t>
  </si>
  <si>
    <t>10.2105/AJPH.2006.100974</t>
  </si>
  <si>
    <t>Health; Health Behavior; Immigration; Socioeconomic Status; Language; Adulthood (18 yrs &amp; older); Male; Female</t>
  </si>
  <si>
    <t>Objectives: We sought to quantify the extent of health selection (i.e., the degree to which potential immigrants migrate, or fail to migrate, on the basis of their health status) among contemporary US immigrant groups and evaluate the degree that selection explains variation in self-rated health among US legal permanent residents. Methods: Data came from the New Immigrant Survey 2003 cohort. We estimated the extent of positive and negative health selection through a unique series of questions asking immigrants in the United States to evaluate their health and compare it to that of citizens in their country of origin. Results: The extent of positive health selection differed significantly across immigrant groups and was related to compositional differences in the socioeconomic profiles of immigrant streams. Conclusions: The salience of socioeconomic status and English-language ability in explaining health differentials across immigrant groups reinforces the importance of further research on the role of these factors in contributing to the health of immigrants above and beyond the need for additional attention to the health selection process. (PsycINFO Database Record (c) 2016 APA, all rights reserved)</t>
  </si>
  <si>
    <t>http://search.ebscohost.com.proxy-ub.rug.nl/login.aspx?direct=true&amp;db=psyh&amp;AN=2008-15003-017&amp;site=ehost-live&amp;scope=site</t>
  </si>
  <si>
    <t>Health status in immigrants and native early adolescents in Italy.</t>
  </si>
  <si>
    <t>Vieno, Alessio; Santinello, Massimo; Lenzi, Michela; Baldassari, Daniela; Mirandola, Massimo</t>
  </si>
  <si>
    <t>Journal of Community Health: The Publication for Health Promotion and Disease Prevention</t>
  </si>
  <si>
    <t>2009-04402-003</t>
  </si>
  <si>
    <t>10.1007/s10900-008-9144-2</t>
  </si>
  <si>
    <t>Health; Health Behavior; Immigration; Indigenous Populations; Psychosocial Factors; Adolescent Development; Childhood (birth-12 yrs); School Age (6-12 yrs); Adolescence (13-17 yrs); Male; Female</t>
  </si>
  <si>
    <t>The aim of the study was to compare health status between native and immigrant early adolescents in Italy and to analyze related psychosocial factors. Data were taken from 'Health Behavior in School Aged Children', a cross-sectional survey investigating health behaviors among early adolescents in selected European countries. A representative sample of 6,744 (50.4% males) Italian students (11, 13 and 15-years-old) completed a questionnaire. Students were assessed for demographics characteristics, socio-economic conditions, social support and bullying victimization, and, as dependent variables, for health complaints, self-reported health, life satisfaction and happiness. It turned out that immigrant adolescents, as compared to natives, are more often affected by psychosomatic symptoms, less satisfied about their health and about life, and less happy. A multiple regression model showed that migration itself is related to life satisfaction and happiness. Socio-economic inequalities, lack of social integration and victimization determine the differences between immigrants and natives in terms of health symptoms and self-reported health. Immigrant adolescents demonstrated worse health status then their native classmates. However, the differences in terms of subjective well-being are not explained by socio-economic differences, lack of social integration and discrimination. (PsycINFO Database Record (c) 2019 APA, all rights reserved)</t>
  </si>
  <si>
    <t>http://search.ebscohost.com.proxy-ub.rug.nl/login.aspx?direct=true&amp;db=psyh&amp;AN=2009-04402-003&amp;site=ehost-live&amp;scope=site</t>
  </si>
  <si>
    <t>Health status, health behaviour and healthcare use among migrants in the UK: Evidence from mothers in the Millennium Cohort Study.</t>
  </si>
  <si>
    <t>Jayaweera, Hiranthi; Quigley, Maria A.</t>
  </si>
  <si>
    <t>2010-15737-021</t>
  </si>
  <si>
    <t>10.1016/j.socscimed.2010.05.039</t>
  </si>
  <si>
    <t>Ethnic Identity; Health Behavior; Immigration; Primary Health Care; Mothers; Adulthood (18 yrs &amp; older); Female</t>
  </si>
  <si>
    <t>The health of migrants in the UK and their access to healthcare is of considerable policy interest. There is evidence of ethnic inequalities in health and access to and use of healthcare but insufficient consideration of the importance of birth abroad and length of residence in the UK. This study examines indicators of health status, behaviour and healthcare use among mothers of infants in the Millennium Cohort Study, according to whether born in the UK or abroad, individual ethnic grouping, and length of residence. Our findings show there are both positive and negative health indicators associated with ethnicity, birth abroad, and length of residence and presenting results on a single factor in isolation could lead to a misinterpretation of associations. For mothers ethnicity has an important relationship with most health indicators independent of country of birth, length of residence and socio-demographic circumstances. Once adjusted for ethnicity and socio-demographic variables, association with birth abroad disappears for most health outcomes suggesting that there may not be an independent migrant penalty in health. There is a linear trend in decreasing health status with increasing length of residence but no independent association between length of residence and healthcare use. This suggests that while there are continuing barriers to good health for migrants in the receiving society as shown in other studies, factors important for one health outcome may not apply to another. Our findings challenge linear acculturation models for migrants’ health in showing that a linear trend in improving socio-economic circumstances for mothers in some ethnic groups is not always associated with better health outcomes or changes in health behaviour. Our results point to a need for a comprehensive collection of information and analysis for all categories of migrants for understanding patterns of and factors underlying health and use of healthcare. (PsycINFO Database Record (c) 2016 APA, all rights reserved)</t>
  </si>
  <si>
    <t>http://search.ebscohost.com.proxy-ub.rug.nl/login.aspx?direct=true&amp;db=psyh&amp;AN=2010-15737-021&amp;site=ehost-live&amp;scope=site</t>
  </si>
  <si>
    <t>Health survey instrument development through a community-based participatory research approach: Health Promoting Lifestyle Profile (HPLP-II) and Brazilian immigrants in greater Boston.</t>
  </si>
  <si>
    <t>Tajik, Mansoureh; Galvão, Heloisa M.; Eduardo Siqueira, C.</t>
  </si>
  <si>
    <t>2010-08843-014</t>
  </si>
  <si>
    <t>10.1007/s10903-008-9209-4</t>
  </si>
  <si>
    <t>Communities; Health Promotion; Immigration; Lifestyle; Experimentation; Surveys; Test Construction; Adulthood (18 yrs &amp; older); Male; Female</t>
  </si>
  <si>
    <t>Brazilians are among the fastest growing segment of immigrant populations in several states of the United States. Culturally appropriate and validated health survey instruments do not exist to adequately assess the health needs of this population. Through a community-based participatory research (CBPR) approach, a cross-cultural pilot project was conducted to develop and test a culturally-adapted Brazilian Portuguese-version of the health-promoting lifestyle profile II (HPLP-II) instrument with a convenience sample of 60 bilingual and bicultural Brazilian immigrants using a combined quasi experimental and focus group design. The project evaluated HPLP-II instrument’s psychometric properties of equivalency, reliability, and score distribution in Portuguese and English. This pilot test supports equivalency, consistency, and reliability of the English and culturally-adapted Brazilian Portuguese versions of the instrument. CBPR is an effective approach in health instrument development. This instrument is an important first step in designing other appropriate instruments to explore health conditions of Brazilian immigrants in the U.S. (PsycINFO Database Record (c) 2016 APA, all rights reserved)</t>
  </si>
  <si>
    <t>http://search.ebscohost.com.proxy-ub.rug.nl/login.aspx?direct=true&amp;db=psyh&amp;AN=2010-08843-014&amp;site=ehost-live&amp;scope=site</t>
  </si>
  <si>
    <t>Health-promoting lifestyles of English-speaking and Spanish-speaking Mexican-American migrant farm workers.</t>
  </si>
  <si>
    <t>Kerr, Madeleine J.; Ritchey, Deborah A.</t>
  </si>
  <si>
    <t>Public Health Nursing</t>
  </si>
  <si>
    <t>2016-29539-001</t>
  </si>
  <si>
    <t>10.1111/j.1525-1446.1990.tb00616.x</t>
  </si>
  <si>
    <t>Agricultural Workers; Health Promotion; Lifestyle; Exercise; Self-Actualization; Stress Management; Adulthood (18 yrs &amp; older); Young Adulthood (18-29 yrs); Thirties (30-39 yrs); Middle Age (40-64 yrs); Male; Female</t>
  </si>
  <si>
    <t>This study was conducted with 62 Mexican-American migrant farm workers at four different sites in northern Illinois. An established English and a newly developed pilot Spanish version of the health-promoting lifestyle profile was used. The concept of health-promoting lifestyle appeared to be culturally relevant to study participants. English-speaking migrant workers scored significantly lower than Spanish-speaking workers on the dimensions of self-actualization, exercise, and stress management. Patterns of scores among both groups were highest in self-actualization and interpersonal support, and lowest in health responsibility and exercise. Further research in health-promoting behaviors with all cultural groups and socioeconomic levels of society will contribute to achievement of the World Health Organization’s goal, health for all by the year 2000. (PsycINFO Database Record (c) 2016 APA, all rights reserved)</t>
  </si>
  <si>
    <t>http://search.ebscohost.com.proxy-ub.rug.nl/login.aspx?direct=true&amp;db=psyh&amp;AN=2016-29539-001&amp;site=ehost-live&amp;scope=site</t>
  </si>
  <si>
    <t>Health-related quality of life among Mexican-origin Latinos: the role of immigration legal status.</t>
  </si>
  <si>
    <t>Garcini, Luz M.; Renzaho, Andre M. N.; Molina, Marisa; Ayala, Guadalupe X.</t>
  </si>
  <si>
    <t>2018-19665-008</t>
  </si>
  <si>
    <t>10.1080/13557858.2017.1283392</t>
  </si>
  <si>
    <t>Immigration; Well Being; Latinos/Latinas; Health Related Quality of Life; Adulthood (18 yrs &amp; older); Male; Female</t>
  </si>
  <si>
    <t>Objective: To assess the relationship between immigration legal status and related vulnerabilities and health-related quality of life (HRQoL) among Mexican-origin Latinos living in a U.S.-Mexico border region. Methods: Data were obtained using multistage sampling from 393 Latino adults who took part in the 2009 San Diego Prevention Research Center community survey. Results: Significant differences in HRQoL were found across immigration legal status subgroups. Vulnerabilities associated with HRQoL varied across immigration legal status subgroups, and only depression was associated with HRQoL regardless of immigration legal status. Conclusion: Results from this study emphasize the need for policies and programs to facilitate access to preventive services, including mental health services, in order to maintain the health of at-risk Latino immigrants. (PsycINFO Database Record (c) 2019 APA, all rights reserved)</t>
  </si>
  <si>
    <t>http://search.ebscohost.com.proxy-ub.rug.nl/login.aspx?direct=true&amp;db=psyh&amp;AN=2018-19665-008&amp;site=ehost-live&amp;scope=site</t>
  </si>
  <si>
    <t>Health-related quality of life, ethnicity and perceived discrimination among immigrants and natives in Spain.</t>
  </si>
  <si>
    <t>Sevillano, Verónica; Basabe, Nekane; Bobowik, Magdalena; Aierdi, Xabier</t>
  </si>
  <si>
    <t>2014-09744-005</t>
  </si>
  <si>
    <t>10.1080/13557858.2013.797569</t>
  </si>
  <si>
    <t>Ethnic Identity; Immigration; Mental Health; Quality of Life; Race and Ethnic Discrimination; Physical Health; Health Related Quality of Life; Adulthood (18 yrs &amp; older); Young Adulthood (18-29 yrs); Thirties (30-39 yrs); Middle Age (40-64 yrs); Aged (65 yrs &amp; older); Male; Female</t>
  </si>
  <si>
    <t>Objectives: The current study compares subjective mental and physical health among native Spaniards and immigrant groups, and examines the effects of ethnicity and perceived discrimination (PD) on subjective health in immigrants. Design: Two random samples of 1250 immigrants to Spain from Colombia, Bolivia, Romania, Morocco, and Sub-Saharan Africa and 500 native Spaniards, aged between 18 and 65, were recruited for this cross-sectional study. Several hierarchical regression analyses of ethnicity and PD on subjective mental and physical health (assessed using the health-related quality of life items, HRQLSF-12) were carried out separately for men and women. Results: Male immigrants from Colombia and Sub-Saharan Africa showed better physical health than natives, controlling for age and socioeconomic and marital status. The immigrants—except for the Colombians—had poorer mental health than natives, especially African men and Bolivian women. Socioeconomic status had no impact on these differences. Among immigrants, PD was the best predictor of physical and mental health (controlling for socio-demographic variables). African men, Bolivian women and women without legal status exhibited the poorest self-rated mental health. Conclusion: Clear differences in health status among natives and immigrants were recorded. The self-selection hypothesis was plausible for physical health of Colombians and Sub-Saharan African men. Acculturation stress could explain poorer mental health in immigrants compared with natives. The association between ethnicity and poor self-reported mental health appears to be partially mediated by discrimination. (PsycINFO Database Record (c) 2019 APA, all rights reserved)</t>
  </si>
  <si>
    <t>http://search.ebscohost.com.proxy-ub.rug.nl/login.aspx?direct=true&amp;db=psyh&amp;AN=2014-09744-005&amp;site=ehost-live&amp;scope=site</t>
  </si>
  <si>
    <t>Health-seeking behaviors of Filipino migrants in Australia: The influence of persisting acculturative stress and depression.</t>
  </si>
  <si>
    <t>Maneze, Della; Salamonson, Yenna; Poudel, Chandra; DiGiacomo, Michelle; Everett, Bronwyn; Davidson, Patricia M.</t>
  </si>
  <si>
    <t>2016-29748-008</t>
  </si>
  <si>
    <t>10.1007/s10903-015-0233-x</t>
  </si>
  <si>
    <t>Acculturation; Health Behavior; Health Care Seeking Behavior; Immigration; Stress; Social Support; Childhood (birth-12 yrs); School Age (6-12 yrs); Adolescence (13-17 yrs); Adulthood (18 yrs &amp; older); Young Adulthood (18-29 yrs); Male; Female</t>
  </si>
  <si>
    <t>This study examined the relationships among the constructs of acculturative stress, depression, English language use, health literacy, and social support and the influence of these factors on health-seeking behaviors of Filipino Australians. Using a self-administered questionnaire, 552 respondents were recruited from November 2010 to June 2011. Structural equation modelling was used to examine relationships. A direct and negative relationship between health-seeking behaviors and depression, and an indirect relationship with acculturative stress, was observed mediated through depression. Social support had an important moderating influence on these effects. Although there was an inverse relationship between age and English language usage and depression, age was positively related to health-seeking behavior. Despite their long duration of stay, Filipino Australian migrants continue to experience acculturative stress and depression leading to lower health-seeking behaviors. This study highlights the importance of screening for acculturative stress and depression in migrants and fostering social support. (PsycINFO Database Record (c) 2016 APA, all rights reserved)</t>
  </si>
  <si>
    <t>http://search.ebscohost.com.proxy-ub.rug.nl/login.aspx?direct=true&amp;db=psyh&amp;AN=2016-29748-008&amp;site=ehost-live&amp;scope=site</t>
  </si>
  <si>
    <t>Help seeking attitudes among Cambodian and Laotian refugees: Implications for public mental health approaches.</t>
  </si>
  <si>
    <t>Thikeo, Manivone; Florin, Paul; Ng, Chee</t>
  </si>
  <si>
    <t>2015-50012-011</t>
  </si>
  <si>
    <t>10.1007/s10903-015-0171-7</t>
  </si>
  <si>
    <t>Acculturation; Help Seeking Behavior; Mental Health; Public Health; Refugees; Public Mental Health; Adulthood (18 yrs &amp; older); Young Adulthood (18-29 yrs); Thirties (30-39 yrs); Middle Age (40-64 yrs); Aged (65 yrs &amp; older); Male; Female</t>
  </si>
  <si>
    <t>This is a pilot study of demographic and acculturation factors in relation to attitudes toward seeking psychological help among Lao and Cambodian refugees and immigrants in the United States of America. Cambodian and Laotian American adults in the United States of America were approached to complete help-seeking attitudes and acculturation scales. T test and hierarchical multiple regression analyses were used to analyze the relationships between the demographic and acculturation variables, and attitudes toward seeking psychological help. Out of 270 target subjects approached there were 108 respondents. Of the demographic variables, gender was associated with favorable attitudes towards psychological help-seeking. As expected, women were significantly more likely than men to recognize the need for help, to seek psychological help, to be more open to discussing mental health problems, and have more confidence in professional services. Acculturation was more powerfully associated with help- seeking attitudes than any of the demographic variables. In hierarchical multiple regression, acculturation contributed significant unique variance over and beyond the entire set of demographic variables to openness to discussing problems and having confidence in professional help. The findings of this pilot study suggest that there are significant barriers to seeking psychological help among Lao and Cambodian Americans. Attention to the issues of gender and levels of acculturation may improve access. (PsycInfo Database Record (c) 2020 APA, all rights reserved)</t>
  </si>
  <si>
    <t>http://search.ebscohost.com.proxy-ub.rug.nl/login.aspx?direct=true&amp;db=psyh&amp;AN=2015-50012-011&amp;site=ehost-live&amp;scope=site</t>
  </si>
  <si>
    <t>Help wanted: Mental health and social stressors among Latino day laborers.</t>
  </si>
  <si>
    <t>Hill, Clara M.; Williams, Emily C.; Ornelas, India J.</t>
  </si>
  <si>
    <t>2019-24381-001</t>
  </si>
  <si>
    <t>10.1177/1557988319838424</t>
  </si>
  <si>
    <t>Anxiety; Blue Collar Workers; Major Depression; Mental Health; Latinos/Latinas; Acculturation; Drug Abuse; Immigration; Life Experiences; Social Stress; Stress; Test Construction; Adulthood (18 yrs &amp; older); Male; Female</t>
  </si>
  <si>
    <t>Latino day laborers may be especially vulnerable to poor mental health due to stressful life experiences, yet few studies have described patterns of mental health outcomes and their correlates in this population. Patterns of depression (PHQ-9) and anxiety (GAD-7), and associations with demographic characteristics, social stressors, and substance use in a recruited sample of male Latino day laborers (n = 101) are described. High rates of depression and anxiety were identified. Specifically, 39% screened positive for moderate or severe depression and 25% for moderate or severe anxiety. Higher levels of depression and anxiety symptoms were associated with being single, being homeless or in temporary housing, experiencing discrimination, acculturation stress, and marijuana use. While tobacco and unhealthy alcohol use were common in this sample (39% and 66%, respectively), they were not associated with depression and anxiety. These findings suggest that depression and anxiety are common among Latino day laborers and associated with stressful life experiences. Future research should further assess ways to ameliorate social stressors and reduce risk for poor mental health. (PsycInfo Database Record (c) 2020 APA, all rights reserved)</t>
  </si>
  <si>
    <t>http://search.ebscohost.com.proxy-ub.rug.nl/login.aspx?direct=true&amp;db=psyh&amp;AN=2019-24381-001&amp;site=ehost-live&amp;scope=site</t>
  </si>
  <si>
    <t>Help-seeking behavior among Mexican immigrant and Mexican American female victims of intimate partner violence and the relationship of acculturation to the incidence of domestic violence in Memphis, Tennessee.</t>
  </si>
  <si>
    <t>Collins, Maria Helena Vanderlei</t>
  </si>
  <si>
    <t>2010-99230-133</t>
  </si>
  <si>
    <t>Acculturation; Help Seeking Behavior; Immigration; Intimate Partner Violence; Mexican Americans; Domestic Violence; Female</t>
  </si>
  <si>
    <t>Domestic violence against women is an oppressive condition extended across race, class, and gender in the United States (Sokoloff, &amp; Pratt 2005; U.S. Department of Justice, 2004). Athena's (2000) discussion the English Common Law of 1967 in the context of wife abuse was supported by Stedman's (1917) statement that, 'by the old common law rule the husband had the right to inflict moderate personal chastisement on his wife, provided that he used, as some of his domestic authorities stated it, a switch no longer than his thumb' (p. 1). This study examined the help-seeking behavior of women of Hispanic origin who have been in situations of domestic violence. In particular, it is focused on the perceptions of Mexican immigrant and Mexican American women regarding the social services available to them (Tiefenthaler, Farmer, &amp; Sambira, 2005). It also explored how this help-seeking behavior is affected by their degree of acculturation and the incidence of intimate partner violence. I wanted to understand whether a difference existed between these two similar ethnic groups. I reviewed their differences in perception about their situation, as well as their awareness of the quality of social services available to them. The participants in this study were 10 Mexican immigrant and 7 Mexican American women who were living in Memphis, Tennessee when the research was conducted. In order to investigate the phenomena, mixed methods were used. The quantitative instruments selected were ARSMA-II (Cuéllar &amp; Maldonado,1995), the Inventory of Abusive Behavior (Shepard &amp; Campbell, 1992), and a customized demographic questionnaire. The qualitative data were collected through a semi-structured interview. Descriptive data and t-tests were reported for the quantitative data, and constant comparative analysis (Glaser, 1965) supported the interpretation of the qualitative data. I report the challenges that women of Hispanic origin had while seeking help from social service providers and the relationship between acculturation and incidence of intimate partner violence. Recommendations to improve the quality of services that this population receives, as well as suggestions for future research, are provided. (PsycINFO Database Record (c) 2019 APA, all rights reserved)</t>
  </si>
  <si>
    <t>http://search.ebscohost.com.proxy-ub.rug.nl/login.aspx?direct=true&amp;db=psyh&amp;AN=2010-99230-133&amp;site=ehost-live&amp;scope=site</t>
  </si>
  <si>
    <t>Hierarchical representation of reasons for being in favor or against immigration.</t>
  </si>
  <si>
    <t>Hichy, Zira; Di Marco, Graziella; Coen, Sharon; Dazzi, Carla</t>
  </si>
  <si>
    <t>2013-44853-001</t>
  </si>
  <si>
    <t>Adult Attitudes; Goal Setting; Immigration; Social Structure; Acculturation; Ethnic Identity; Society; Sociocultural Factors; Adolescence (13-17 yrs); Adulthood (18 yrs &amp; older); Young Adulthood (18-29 yrs); Male; Female</t>
  </si>
  <si>
    <t>The aim of this study was to investigate the reasons drawing people to be in favor or against immigration, using a method that investigates goal setting. By examining participants who were favorable to immigration (N = 141), 12 reasons were obtained, for instance: 'Italy’s cultural growth,' 'Cultural exchange,' 'Greater tolerance,' and 'Multi-ethnic society.' Unfavorable participants (N = 177) gave 11 main reasons, for instance: 'Fear,' 'Immigrants make trouble,' 'Immigrants steal jobs from Italians,' and 'Italy’s economic collapse.' The hierarchical structure of reasons showed that, for people favorable to immigration, immigrants are primarily a resource for economic and cultural growth of Italy; in contrast, people unfavorable to immigration perceive immigrants as a threat to the Italian economy and culture. (PsycINFO Database Record (c) 2016 APA, all rights reserved)</t>
  </si>
  <si>
    <t>http://search.ebscohost.com.proxy-ub.rug.nl/login.aspx?direct=true&amp;db=psyh&amp;AN=2013-44853-001&amp;site=ehost-live&amp;scope=site</t>
  </si>
  <si>
    <t>High-skilled immigrants in times of crisis. A cross-European analysis.</t>
  </si>
  <si>
    <t>Voicu, Bogdan; Vlase, Ionela</t>
  </si>
  <si>
    <t>2014-33947-001</t>
  </si>
  <si>
    <t>10.1016/j.ijintrel.2014.07.003</t>
  </si>
  <si>
    <t>Ability; Crises; Economics; Immigration; Life Satisfaction; Labor Market; Adulthood (18 yrs &amp; older); Male; Female</t>
  </si>
  <si>
    <t>In times of economic turmoil, do high-skilled immigrants (HSIMs) tremble, or are they better suited than non-immigrants or low-skill immigrants to cope with such instability? This paper sheds some light on HSIMs’ social integration during crisis by considering their life satisfaction, ability to get paid work, and civic participation. European Social Survey (ESS) data are used in multilevel models aiming to disentangle the effect of recession in the host economy from that of living through times of crisis. The existing literature does not point in a clear direction, but the use of acculturation perspective, along with the self-selection hypothesis, help to derive clearer expectations. Diverse pathways are revealed. In troubled economies, HSIMs succeed in increasing their access to paid work and involvement in organizations, but their life satisfaction decreases. In functional economies, the situation is reversed: Life satisfaction seems to have a protective role in relation to the slightly higher difficulties in the labor market and lesser civic participation. (PsycINFO Database Record (c) 2016 APA, all rights reserved)</t>
  </si>
  <si>
    <t>http://search.ebscohost.com.proxy-ub.rug.nl/login.aspx?direct=true&amp;db=psyh&amp;AN=2014-33947-001&amp;site=ehost-live&amp;scope=site</t>
  </si>
  <si>
    <t>HIV risk, substance use, and suicidal behaviors among Asian American lesbian and bisexual women.</t>
  </si>
  <si>
    <t>Lee, Jieha; Hahm, Hyeouk Chris</t>
  </si>
  <si>
    <t>2012-35106-005</t>
  </si>
  <si>
    <t>10.1521/aeap.2012.24.6.549</t>
  </si>
  <si>
    <t>Asians; Attempted Suicide; Bisexuality; Lesbianism; Risk Factors; Drug Abuse; HIV; Human Females; Adulthood (18 yrs &amp; older); Young Adulthood (18-29 yrs); Thirties (30-39 yrs); Female</t>
  </si>
  <si>
    <t>The authors examined the association between lesbian/bisexual identity and three risky health behaviors (HIV risk, substance use, and suicidal behaviors) in a sample of Asian American women. This cross-sectional study was designed to investigate the prevalence of HIV risk behaviors and mental health functioning among unmarried Chinese, Korean, and Vietnamese women ages 18 to 35 who are children of immigrants (N = 701), using computer-assisted survey interviews (CASI). Approximately one out of five Asian American women in the sample identified themselves as a lesbian and bisexual woman (18%). Overall, Asian American lesbian and bisexual women reported higher proportions of risky health behaviors than did their exclusively heterosexual counterparts. The odds of engaging in HIV risk behaviors, using substances, and experiencing suicidal ideation were two to three times higher for lesbian and bisexual women than for exclusively heterosexual women. These findings suggest that rigorous screening is necessary for identifying women in this lesbian/bisexual subgroup in order to provide them with better assessment and services. (PsycINFO Database Record (c) 2016 APA, all rights reserved)</t>
  </si>
  <si>
    <t>http://search.ebscohost.com.proxy-ub.rug.nl/login.aspx?direct=true&amp;db=psyh&amp;AN=2012-35106-005&amp;site=ehost-live&amp;scope=site</t>
  </si>
  <si>
    <t>HIV testing and cross border migrant vulnerability: Social integration and legal/economic status among cross border migrant workers in Thailand.</t>
  </si>
  <si>
    <t>Ford, Kathleen; Holumyong, Charamporn</t>
  </si>
  <si>
    <t>2015-54072-001</t>
  </si>
  <si>
    <t>10.1007/s10461-015-1255-z</t>
  </si>
  <si>
    <t>Health Knowledge; HIV Testing; Immigration; Social Integration; Susceptibility (Disorders); Adolescence (13-17 yrs); Adulthood (18 yrs &amp; older); Young Adulthood (18-29 yrs); Thirties (30-39 yrs); Middle Age (40-64 yrs); Male; Female</t>
  </si>
  <si>
    <t>The objective of this paper was to identify factors related to the use of HIV testing among cross border migrants in Thailand. Two measures of vulnerability (social integration and legal/economic status) as well as HIV knowledge, risk behaviour, and demographic factors were tested for association with HIV testing. Data were drawn from a survey of 2600 sexually active migrants age 15–59 in multiple provinces of Thailand. The measures of social integration (AOR = 1.14(95 % CI 1.09, 1.20) female; AOR = 1.12 (95 %CI 1.05, 1.19) male) and legal-income status (AOR = 1.12 (95 % CI 1.07, 1.18) female; AOR = 1.31 (95 %CI 1.20, 1.42) male) were positively related to the odds of reporting an HIV test for both male and female migrants. Exposure to AIDS programming including attending an AIDS meeting and possessing AIDS knowledge was also related to an increase in HIV testing. In addition, reproductive health factors including sexual risk behavior and childbirth increased the rate of HIV testing. (PsycINFO Database Record (c) 2016 APA, all rights reserved)</t>
  </si>
  <si>
    <t>http://search.ebscohost.com.proxy-ub.rug.nl/login.aspx?direct=true&amp;db=psyh&amp;AN=2015-54072-001&amp;site=ehost-live&amp;scope=site</t>
  </si>
  <si>
    <t>HIV testing behaviors among Latinos in Baltimore City.</t>
  </si>
  <si>
    <t>Chen, Nadine E.; Meyer, Jaimie P.; Bollinger, Robert; Page, Kathleen R.</t>
  </si>
  <si>
    <t>2012-17705-004</t>
  </si>
  <si>
    <t>10.1007/s10903-012-9573-y</t>
  </si>
  <si>
    <t>Health Behavior; Health Promotion; HIV Testing; Risk Factors; Self-Report; Latinos/Latinas; Childhood (birth-12 yrs); School Age (6-12 yrs); Adolescence (13-17 yrs); Adulthood (18 yrs &amp; older); Young Adulthood (18-29 yrs); Thirties (30-39 yrs); Middle Age (40-64 yrs); Male; Female</t>
  </si>
  <si>
    <t>In the US, HIV disproportionately affects Latinos who often present late in the disease. Baltimore has seen a recent rapid growth in its Latino population paralleled by an increasing impact of HIV/AIDS among Latinos. From 2009 to 2010, we performed a cross-sectional survey of Latinos accessing the Baltimore City Health Department (BCHD) Latino Outreach services to assess self-report of previous HIV testing, with particular attention to migration history and risk behaviors. Of 247 Latinos (46% male) accessing BCHD outreach services, 96% were foreign-born. Self-perceived HIV risk was not associated with actual risk behaviors or HIV testing. In multivariate models, previous HIV testing was correlated with knowledge of HIV transmission modes and knowing that a person with HIV can appear healthy. Consistent with CDC recommendations, HIV screening among Latino immigrants should not be limited to individuals with self-perceived risk for HIV. Promoting key pieces of HIV knowledge may improve HIV testing behaviors. (PsycINFO Database Record (c) 2016 APA, all rights reserved)</t>
  </si>
  <si>
    <t>http://search.ebscohost.com.proxy-ub.rug.nl/login.aspx?direct=true&amp;db=psyh&amp;AN=2012-17705-004&amp;site=ehost-live&amp;scope=site</t>
  </si>
  <si>
    <t>Host land or homeland?: Civic-cultural identity and banal integration in Latvia.</t>
  </si>
  <si>
    <t>Ekmanis, Indra Dineh</t>
  </si>
  <si>
    <t>2017-54449-272</t>
  </si>
  <si>
    <t>Human Migration; Nationalism; Cultural Identity; Narratives</t>
  </si>
  <si>
    <t>This dissertation challenges conventional approaches in the study of minority integration by looking at the spaces in which integration occurs, rather than at instances of conflict. It develops a framework that considers banal manifestations of social integration in quotidian and national life. Concentrating on the case study of Russian-speakers and ethnic titulars in Latvia, it compares top-down, elite-led discourse on integration with lived interethnic interactions. In many conventional analyses, Latvia is considered a divided society wherein ethnic, linguistic, and cultural cleavages separate ethnic Latvians from the proportionally large population of Russian-speakers 'left behind' when the Soviet Union collapsed in 1991. This population has been analyzed through immigrant, diaspora, and fifth column frameworks that suggest Russian speakers remain outside of the Latvian state and nation, if not always civically, then certainly culturally. This dissertation argues the frameworks and indicators traditionally used to measure integration do not sufficiently consider integration in everyday experiences, and therefore overlook much of the integration that is occurring on the ground. Rather, banality -- or the lived experiences that fade into the hum of everyday life -- is an indicator of significant interpersonal and socio-national integration that incorporates minorities as active members of the nation. The dissertation considers relevant theories in the study of integration, nationalism, and identity to create frameworks of interpersonal and socio-national banal integration. These capture both person-to-person experiences and minority engagement with society and the state. The dissertation then links the theoretical concept with three critical elements in the Latvian integration debate. First, it notes the disconnect between top-down integration priorities and ground-level realities. Second, it examines banal integration in daily life, looking at interpersonal interactions, public spaces, and civic connections with the state. Finally, the dissertation considers the ways in which minorities engage as embedded members of the Latvian nation, looking at participation in cultural events and national holidays. Theoretically, this dissertation highlights the necessity of prioritizing banal, quotidian experiences over elite-led discourse in the study of integration. Methodologically, it accomplishes this goal through a multi-method approach, using extant document summary and analysis, medium-n survey data, and qualitative ethnography. Empirically, the dissertation pushes back against a narrative of conflict in Latvian and Russian-speaker relations. Indeed, it argues that not only is Latvian society far less divided than it discursively appears, in many cases, minorities see themselves as active members of the Latvian cultural and civic nation, not tangential to it. This dissertation is a dedicated analysis of the Latvian case, but contributes more broadly to the literature on post-Soviet diaspora and migration studies, integration studies, and questions of nationalism and identity in the modern global context. (PsycInfo Database Record (c) 2020 APA, all rights reserved)</t>
  </si>
  <si>
    <t>http://search.ebscohost.com.proxy-ub.rug.nl/login.aspx?direct=true&amp;db=psyh&amp;AN=2017-54449-272&amp;site=ehost-live&amp;scope=site</t>
  </si>
  <si>
    <t>How contact experiences shape welcoming: Perspectives from U.S.-born and immigrant groups.</t>
  </si>
  <si>
    <t>Tropp, Linda R.; Okamoto, Dina G.; Marrow, Helen B.; Jones-Correa, Michael</t>
  </si>
  <si>
    <t>Social Psychology Quarterly</t>
  </si>
  <si>
    <t>2018-13109-004</t>
  </si>
  <si>
    <t>10.1177/0190272517747265</t>
  </si>
  <si>
    <t>Immigration; Intergroup Dynamics; Life Experiences; Social Behavior; Social Discrimination; Social Integration; Test Construction; Adulthood (18 yrs &amp; older); Young Adulthood (18-29 yrs); Thirties (30-39 yrs); Middle Age (40-64 yrs); Aged (65 yrs &amp; older); Male; Female</t>
  </si>
  <si>
    <t>This research examines how intergroup contact experiences—including both their frequency and their qualities (friendly, discriminatory)—predict indicators of welcoming among U.S.-born and immigrant groups. Analyzing a new survey of U.S.-born groups (whites and blacks) and immigrant groups (Mexicans and Indians) from the Atlanta and Philadelphia metropolitan areas (total N = 2,006), we examine welcoming as a key dimension of social integration. Along with reporting their contact experiences, survey respondents indicated the extent to which they are inclined to welcome and feel welcomed by each of the other groups. Results consistently demonstrated that greater contact frequency predicted greater tendencies to welcome and feel welcomed by each of the other groups. These effects persisted even when demographic characteristics, perceived discrimination, and exposure are included as predictors in the models. Findings also suggested that racial and nativity hierarchies shape how perceived discrimination predicts welcoming others and feeling welcomed by others. (PsycINFO Database Record (c) 2018 APA, all rights reserved)</t>
  </si>
  <si>
    <t>http://search.ebscohost.com.proxy-ub.rug.nl/login.aspx?direct=true&amp;db=psyh&amp;AN=2018-13109-004&amp;site=ehost-live&amp;scope=site</t>
  </si>
  <si>
    <t>How do host community members perceive immigrants’ intercultural adaptation? Development of the Ad-Scale.</t>
  </si>
  <si>
    <t>Matera, Camilla; Stefanile, Cristina</t>
  </si>
  <si>
    <t>Giunti Organizzazioni Speciali</t>
  </si>
  <si>
    <t>2010-10508-004</t>
  </si>
  <si>
    <t>Acculturation; Community Attitudes; Immigration; Test Reliability; Test Validity; Communities; Cross Cultural Communication; Psychometrics; Adulthood (18 yrs &amp; older); Male; Female</t>
  </si>
  <si>
    <t>Introduction: The aim of the study was to develop a scale (Ad-Scale) which could be used to measure the way in which host members perceive immigrants’ psychological and sociocultural adjustment. Methods: The study was articulated in three steps. Three groups of participants took part in the study (step 1 N = 77, step 2 N = 256, step 3 N = 236). A pool of 22 items reflecting intercultural adaptation was created. Exploratory and confirmative factor analyses were carried out in order to evaluate the factor structure of the Ad-scale. Results: A two-factor model emerged. The Ad-Scale seemed to be composed of two subscales, assessing respectively psychological and sociocultural perceived outcomes. The psychological adjustment subscale, composed of 7 items, referred to personal satisfaction, psychological well-being, quality of contact with outgroup members. The sociocultural adaptation subscale, composed of 5 items, referred to some difficulties the immigrants could find in the host community. Conclusions: Results showed the Ad-Scale to be a good instrument for measuring the way in which host members perceive immigrants’ intercultural adjustment. (PsycINFO Database Record (c) 2016 APA, all rights reserved)</t>
  </si>
  <si>
    <t>http://search.ebscohost.com.proxy-ub.rug.nl/login.aspx?direct=true&amp;db=psyh&amp;AN=2010-10508-004&amp;site=ehost-live&amp;scope=site</t>
  </si>
  <si>
    <t>How does the majority public react to multiculturalist policies? A comparative analysis of european countries.</t>
  </si>
  <si>
    <t>Hooghe, Marc; de Vroome, Thomas</t>
  </si>
  <si>
    <t>2015-17262-007</t>
  </si>
  <si>
    <t>10.1177/0002764214566499</t>
  </si>
  <si>
    <t>Cross Cultural Differences; Policy Making; Public Opinion; Social Integration; Multiculturalism; Human Migration; Adolescence (13-17 yrs); Adulthood (18 yrs &amp; older); Young Adulthood (18-29 yrs); Thirties (30-39 yrs); Middle Age (40-64 yrs); Aged (65 yrs &amp; older); Very Old (85 yrs &amp; older); Male; Female</t>
  </si>
  <si>
    <t>Migration and ethnic minority integration remain heavily contested issues in numerous European countries. Over the past decade, researchers and political commentators have observed an apparent retreat from multiculturalist policies related to a belief that multiculturalism has lost support among the majority public. Recently, however, based on analyses of the evolution of migrant integration policies, it has been demonstrated that multiculturalist policies were largely left in place. To investigate the effect of multiculturalist policies on public opinion, we use a multilevel analysis of three policy indicators (Multiculturalism Policy Index, Index of Citizenship Rights for Immigrants–Cultural diversity, and Migrant Integration Policy Index) and European Social Survey data in 20 European countries. Results show that multiculturalist policies, as measured by Multiculturalism Policy Index and Index of Citizenship Rights for Immigrants–Cultural diversity, and migrant integration policies more generally, as measured by Migrant Integration Policy Index, to some extent are associated with lower levels of anti-immigrant sentiments, while they do not affect public attitudes toward political institutions. Regarding political attitudes, especially respondents with higher education levels tend to respond in a more positive manner to multiculturalist policies than respondents with lower education levels. (PsycINFO Database Record (c) 2016 APA, all rights reserved)</t>
  </si>
  <si>
    <t>http://search.ebscohost.com.proxy-ub.rug.nl/login.aspx?direct=true&amp;db=psyh&amp;AN=2015-17262-007&amp;site=ehost-live&amp;scope=site</t>
  </si>
  <si>
    <t>How education systems shape cross-national ethnic inequality in math competence scores: Moving beyond mean differences.</t>
  </si>
  <si>
    <t>Spörlein, Christoph; Schlueter, Elmar</t>
  </si>
  <si>
    <t>2018-15272-001</t>
  </si>
  <si>
    <t>10.1371/journal.pone.0193738</t>
  </si>
  <si>
    <t>Acculturation; Equal Education; Immigration; Mathematics Achievement; Mathematics Education; Racial and Ethnic Differences; Adulthood (18 yrs &amp; older); Male; Female</t>
  </si>
  <si>
    <t>Here we examine a conceptualization of immigrant assimilation that is based on the more general notion that distributional differences erode across generations. We explore this idea by reinvestigating the efficiency-equality trade-off hypothesis, which posits that stratified education systems educate students more efficiently at the cost of increasing inequality in overall levels of competence. In the context of ethnic inequality in math achievement, this study explores the extent to which an education system's characteristics are associated with ethnic inequality in terms of both the group means and group variances in achievement. Based on data from the 2012 PISA and mixed-effect location scale models, our analyses revealed two effects: on average, minority students had lower math scores than majority students, and minority students' scores were more concentrated at the lower end of the distribution. However, the ethnic inequality in the distribution of scores declined across generations. We did not find compelling evidence that stratified education systems increase mean differences in competency between minority and majority students. However, our analyses revealed that in countries with early educational tracking, minority students' math scores tended to cluster at the lower end of the distribution, regardless of compositional and school differences between majority and minority students. (PsycInfo Database Record (c) 2020 APA, all rights reserved)</t>
  </si>
  <si>
    <t>http://search.ebscohost.com.proxy-ub.rug.nl/login.aspx?direct=true&amp;db=psyh&amp;AN=2018-15272-001&amp;site=ehost-live&amp;scope=site</t>
  </si>
  <si>
    <t>How much orientation towards the host culture is healthy? Acculturation style as risk enhancement for depressive symptoms in immigrants.</t>
  </si>
  <si>
    <t>Behrens, Katharina; del Pozo, Melina A.; Großhennig, Anika; Sieberer, Marcel; Graef-Calliess, Iris T.</t>
  </si>
  <si>
    <t>2015-34434-010</t>
  </si>
  <si>
    <t>10.1177/0020764014560356</t>
  </si>
  <si>
    <t>Acculturation; Immigration; Major Depression; Mental Health; Symptoms; Cultural Identity; Adulthood (18 yrs &amp; older); Young Adulthood (18-29 yrs); Thirties (30-39 yrs); Middle Age (40-64 yrs); Male; Female</t>
  </si>
  <si>
    <t>Aims: As the specific acculturative tasks and challenges involved in the migration process can lead to an increased risk for depressive symptoms, the study was designed to gain further insight into the interrelation between acculturation styles and mental health. Methods: A total of n = 90 patients with different ethnic backgrounds from an outpatient consultation service for immigrants at the Hannover Medical School were investigated by the Hannover Migration and Mental Health Interview (HMMH), the Centre for Epidemiologic Studies Depression Scale (CES-D) and the Frankfurt Acculturation Scale (FRAKK). Results: The majority of the subjects (84.4%) had a clinically significant depression. The extent of depressive symptoms was determined by the selected acculturation style (1) (F = 3.29, p = .025): Subjects with integration as acculturation style showed less depressive symptoms than subjects with assimilation as acculturation style. Furthermore, subjects with segregation as acculturation style also showed less depressive symptoms than subjects with assimilation. Conclusion: The results suggest that even when undergoing extreme emotional distress, eventually leading to mental disorder, integration, as an acculturation style, seems to serve as a protective resource and possibly prevents further decline. (PsycInfo Database Record (c) 2020 APA, all rights reserved)</t>
  </si>
  <si>
    <t>http://search.ebscohost.com.proxy-ub.rug.nl/login.aspx?direct=true&amp;db=psyh&amp;AN=2015-34434-010&amp;site=ehost-live&amp;scope=site</t>
  </si>
  <si>
    <t>How representative are snowball samples? Using the ethnosurvey to study Guatemala-U.S. migration.</t>
  </si>
  <si>
    <t>Lindstrom, David P.</t>
  </si>
  <si>
    <t>Annals of the American Academy of Political and Social Science</t>
  </si>
  <si>
    <t>2016-30070-004</t>
  </si>
  <si>
    <t>10.1177/0002716216646568</t>
  </si>
  <si>
    <t>Demographic Characteristics; Human Migration; Social Integration; Adulthood (18 yrs &amp; older); Male; Female</t>
  </si>
  <si>
    <t>This analysis draws on binational data from an ethnosurvey conducted in Guatemala and in the United States in Providence, Rhode Island, to develop a refinement of the weighting scheme that the Mexican Migration Project (MMP) uses. The alternative weighting procedure distinguishes between temporary and settled migrants by using a question on household location in the Guatemala questionnaire that is not used in the MMP. Demographic characteristics and integration experiences of the most recent U.S. trip are used to assess the composition and representativeness of the U.S. sample. Using a composite index of migrant integration to compare the impact of alternative U.S. sample weights on point estimates, I find that although the U.S. sample is broadly representative across a range of background characteristics, the MMP sample weighting procedure biases estimates of migrant integration downward. (PsycINFO Database Record (c) 2016 APA, all rights reserved)</t>
  </si>
  <si>
    <t>http://search.ebscohost.com.proxy-ub.rug.nl/login.aspx?direct=true&amp;db=psyh&amp;AN=2016-30070-004&amp;site=ehost-live&amp;scope=site</t>
  </si>
  <si>
    <t>How urban shrinkage impacts on patterns of socio-spatial segregation: The cases of Leipzig (Germany), Ostrava (Czech Republic), and Genoa (Italy).</t>
  </si>
  <si>
    <t>Grossmann, Katrin; Haase, Annegret; Arndt, Thomas; Cortese, Caterina; Rumpel, Petr; Rink, Dieter; Slach, Ondřej; Tichá, Iva; Violante, Alberto</t>
  </si>
  <si>
    <t>Urban ills: Twenty-first-century complexities of urban living in global contexts., Vol. 1.</t>
  </si>
  <si>
    <t>2014-01521-009</t>
  </si>
  <si>
    <t>Lexington Books/Rowman &amp; Littlefield</t>
  </si>
  <si>
    <t>Group Cohesion; Human Migration; Population; Social Integration; Urban Environments; Communities; Demographic Characteristics; Disadvantaged; Fertility; Housing; Industrialization; Lower Income Level; Minority Groups; Occupational Status; Suburban Environments</t>
  </si>
  <si>
    <t>In our paper, we elaborate some basic theses about how urban shrinkage impacts on the process and patterns of socio-spatial segregation. These are based on empirical work in three of the case studies of a recently finished EU 7th FP research project 'Shrink Smart—The Governance of Shrinkage within a European Context' (grant no. 225193, www.sheinksmaet.eu). For our analysis, we chose three cases from the project: Leipzig/Germany, Ostrava/Czech Republic and Genoa/Italy, because they inspired us to think about the issue that this article is concerned with. All three are old industrial cities with far-reaching de-industrialization experiences. Due to job migration, suburbanization, and steep drops in fertilely rates, population numbers in these cities have decreased, although to different extents. The results presented here stem from the various investigations of the local causes and consequences of urban population losses in various types of shrinking urban regions in Europe. The argumentation is a result of post hoc discussions on issues of social cohesion and governance. Thus, we have not been able to draw on a systematic comparative research design. The article therefore presents evidence-based theses for further work and discussion, rather than systematically elaborated comparative findings. By providing a necessarily selective picture, we cannot present an exhaustive picture of all three cases, but will focus on the issues that emerged as crucial ones in the analyses of social cohesion in these there cities. These issues are, in particular, the segregation of underprivileged groups, i.e. of groups with restricted access to the housing market, such as low-income groups of minorities, as well as demographic segregation. We will show that, in all case studies, population decline acts as a catalyst for socio-spatial segregation, leading to pockets of rapid change and decline: in the case of Ostrava, to an increased exclusion of the Roma population; in the case of Genoa, to a concentration of new migrants in the historic city centre and, in the case of Leipzig, to a simultaneous concentration of vacant housing, unemployed residents, and ethnic minorities in older working-class neighborhoods. In doing so, we provide a contrast to the United States context and hope to stimulate comparative debates and theory-building. (PsycInfo Database Record (c) 2020 APA, all rights reserved)</t>
  </si>
  <si>
    <t>http://search.ebscohost.com.proxy-ub.rug.nl/login.aspx?direct=true&amp;db=psyh&amp;AN=2014-01521-009&amp;site=ehost-live&amp;scope=site</t>
  </si>
  <si>
    <t>Hurdles or walls? Nativity, citizenship, legal status and Latino homeownership in Los Angeles.</t>
  </si>
  <si>
    <t>McConnell, Eileen Díaz</t>
  </si>
  <si>
    <t>2015-33744-003</t>
  </si>
  <si>
    <t>10.1016/j.ssresearch.2015.04.009</t>
  </si>
  <si>
    <t>Citizenship; Immigration; Ownership; Risk Factors; Latinos/Latinas; Family; Childhood (birth-12 yrs); School Age (6-12 yrs); Adolescence (13-17 yrs); Adulthood (18 yrs &amp; older); Young Adulthood (18-29 yrs); Thirties (30-39 yrs); Middle Age (40-64 yrs)</t>
  </si>
  <si>
    <t>Homeownership is directly and indirectly linked with many positive child, adult, and community-level outcomes. Prior research offers strong evidence that nativity and immigrants’ citizenship status shapes U.S. homeownership, but relatively little work has explored how immigrants’ legal status is connected with homeownership. This study draws from locational attainment and classic assimilation theories to develop hypotheses about sources of intra-Latino heterogeneity in homeownership. Los Angeles Family and Neighborhood Survey data are used to contrast four distinct groups of Latinos: U.S. born natives, naturalized citizens, authorized non-citizens, and unauthorized non-citizens. Logistic regression results indicate baseline and residual variation in Latino homeownership based on immigrant citizenship and legal status. Of these, unauthorized non-citizens are the least likely to own their home. The results provide support for all three theoretical models, particularly the place stratification perspective. The results also point to the need for more housing studies that jointly examine citizenship and legal status. (PsycINFO Database Record (c) 2017 APA, all rights reserved)</t>
  </si>
  <si>
    <t>http://search.ebscohost.com.proxy-ub.rug.nl/login.aspx?direct=true&amp;db=psyh&amp;AN=2015-33744-003&amp;site=ehost-live&amp;scope=site</t>
  </si>
  <si>
    <t>Hwabyung and depressive symptoms among Korean immigrants.</t>
  </si>
  <si>
    <t>Social Work in Mental Health</t>
  </si>
  <si>
    <t>2015-06968-005</t>
  </si>
  <si>
    <t>10.1080/15332985.2013.812538</t>
  </si>
  <si>
    <t>Acculturation; Culture Bound Syndromes; Immigration; Major Depression; South Asian Cultural Groups; Symptoms; Adulthood (18 yrs &amp; older); Young Adulthood (18-29 yrs); Male; Female</t>
  </si>
  <si>
    <t>This article describes the findings from a study that examined the psychological ramifications of immigration experiences among Koreans in the United States using hwabyung and depressive symptoms. Data collected from an anonymous survey of 242 voluntary participants were analyzed using Pearson’s correlation coefficient (r), and hierarchical multiple regression (R²). The findings demonstrated the statistically significant correlation between hwabyung and depressive symptoms. Also found was the important role of coping resources in explaining both hwabyung and depressive symptoms among Korean immigrants. Additionally, the findings suggest that having a graduate school education in the United Sates, receiving money from Korea, and being a woman were found to be significantly related to hwabyung symptoms. However, no factors related to individual characteristics appeared to have a significant impact on depressive symptoms. Based on the findings, the implications for practice are discussed. (PsycINFO Database Record (c) 2016 APA, all rights reserved)</t>
  </si>
  <si>
    <t>http://search.ebscohost.com.proxy-ub.rug.nl/login.aspx?direct=true&amp;db=psyh&amp;AN=2015-06968-005&amp;site=ehost-live&amp;scope=site</t>
  </si>
  <si>
    <t>Hypertension and diabetes prevalence among U.S. Hispanics by country of origin: The National Health Interview Survey 2000–2005.</t>
  </si>
  <si>
    <t>Pabon-Nau, Lina P.; Cohen, Amy; Meigs, James B.; Grant, Richard W.</t>
  </si>
  <si>
    <t>Journal of General Internal Medicine</t>
  </si>
  <si>
    <t>2010-14063-022</t>
  </si>
  <si>
    <t>10.1007/s11606-010-1335-8</t>
  </si>
  <si>
    <t>Cross Cultural Differences; Diabetes; Epidemiology; Hypertension; Latinos/Latinas; Acculturation; Health; Interviews; Mexican Americans; Socioeconomic Status; Adulthood (18 yrs &amp; older); Male; Female</t>
  </si>
  <si>
    <t>Background: Despite their diverse cultural origins, Hispanics in the US are generally studied as a single ethnic group. Objectives: 1) Assess demographic and disease-related differences among U.S. Hispanics by country of origin, and 2) Examine the mediating roles of socioeconomic status and acculturation on disease prevalence in these subgroups. Design and Participants: Using data from the 2000-2005 National Health Interview Survey (NHIS), we compared characteristics of Mexican-Americans with Hispanics originally from: Mexico, Puerto Rico, Central/South America, Cuba, and Dominican Republic (n = 31,240). We stratified the analysis by foreign versus US-born Hispanic subgroups and modeled hypertension and diabetes prevalence, adjusting for demographic and acculturation differences. Main results: The six Hispanic subgroups were significantly diverse in all measured variables. Prevalence of hypertension (32%) and diabetes (15%) was highest in foreign-born Puerto Ricans. After adjusting for age, BMI, smoking, socioeconomic status and acculturation in foreign-born Hispanics, Puerto Ricans (OR = 1.76 [95% CI: 1.23, 2.50], p = 0.002) and Dominicans (OR = 1.93 [1.24, 3.00], p = 0.004), had higher prevalence of hypertension relative to Mexican-Americans. Adjusted diabetes prevalence among foreign-born Hispanics was half or less in Cubans (OR = 0.42 [0.25, 0.68] p &lt; 0.001), Dominicans (OR = 0.48 [0.26, 0.91], p = 0.02) and Central/South Americans (OR = 0.51 [0.33, 0.78], p = 0.002) relative to Mexican-Americans. Among US-born Hispanic subgroups, Cubans had lower hypertension (OR = 0.53, [0.33, 0.83], p = 0.006) and Mexicans (OR = 0.76 [0.60, 0.98], p = 0.03) had lower diabetes prevalence compared to Mexican-Americans in adjusted models. Conclusions: The prevalence of hypertension and diabetes varies significantly among Hispanics by country of origin. Health disparities research should include representation from all Hispanic subgroups. (PsycINFO Database Record (c) 2016 APA, all rights reserved)</t>
  </si>
  <si>
    <t>http://search.ebscohost.com.proxy-ub.rug.nl/login.aspx?direct=true&amp;db=psyh&amp;AN=2010-14063-022&amp;site=ehost-live&amp;scope=site</t>
  </si>
  <si>
    <t>Identity and politicization among Turkish migrants in Germany: The role of dual identification.</t>
  </si>
  <si>
    <t>Simon, Bernd; Ruhs, Daniela</t>
  </si>
  <si>
    <t>2008-16429-008</t>
  </si>
  <si>
    <t>10.1037/a0012630</t>
  </si>
  <si>
    <t>Human Migration; Political Radicalism; Politics; Social Integration; Adulthood (18 yrs &amp; older); Male; Female</t>
  </si>
  <si>
    <t>The article examines the role of collective identification processes in the politicization of Turkish migrants in Germany. Building on the suggestion that politicized collective identity is a dual identity, the authors predicted and found that dual identification as both Turkish and German was positively related to politicization among members of the Turkish minority in Germany. This relationship was found in both cross-sectional and longitudinal analyses and held up even when the influence of sociodemographic variables, past political activity, and other forms of collective identification were statistically controlled, suggesting a unique and causal role of dual identification. However, there was no evidence that dual identification fosters radicalization or even political violence. The implications for social integration of politicization driven by dual identification are discussed, as is the interplay of dual identification and separatist identification that could underlie the shift from involvement in normative politics to radicalization. (PsycINFO Database Record (c) 2016 APA, all rights reserved)</t>
  </si>
  <si>
    <t>http://search.ebscohost.com.proxy-ub.rug.nl/login.aspx?direct=true&amp;db=psyh&amp;AN=2008-16429-008&amp;site=ehost-live&amp;scope=site</t>
  </si>
  <si>
    <t>Identity development during cultural transition: The role of social-cognitive identity processes.</t>
  </si>
  <si>
    <t>Szabo, Agnes; Ward, Colleen</t>
  </si>
  <si>
    <t>2015-17017-004</t>
  </si>
  <si>
    <t>10.1016/j.ijintrel.2015.03.019</t>
  </si>
  <si>
    <t>Pergamon Press</t>
  </si>
  <si>
    <t>Acculturation; Cross Cultural Differences; Identity Formation; Immigration; Social Cognition; Cultural Identity; Adolescence (13-17 yrs); Adulthood (18 yrs &amp; older); Young Adulthood (18-29 yrs); Thirties (30-39 yrs); Middle Age (40-64 yrs); Aged (65 yrs &amp; older); Male; Female</t>
  </si>
  <si>
    <t>Based on fundamental cognitive differences, Berzonsky (1989) proposed three different strategies of exploration behavior that underlie the process of identity development: informational, normative, and diffuse-avoidant styles. The present study extends Berzonsky's theorizing to acculturation research and examines the social-cognitive processes underlying identity development of new immigrants (N = 218). We investigate informational (analytical and exploratory), normative (heritage and host) and diffuse-avoidant identity styles as predictors of identity commitment and identity outcomes (self-esteem, self-concept clarity and ethno-cultural identity conflict). Two positive and two negative pathways to identity outcomes were identified, which were fully or partially mediated by identity commitment. Analytical informational style and normative orientation to the host society predicted stronger identity commitment, which, in turn, resulted in more positive identity outcomes. In contrast, diffuse-avoidant and exploratory informational styles exerted negative effects on identity outcomes via identity commitment. Furthermore, identity commitment buffered the negative impact of normative orientation to the country of origin on self-esteem. Taken together our findings indicate that identity commitment plays a central role in identity reconstruction of new immigrants. (PsycInfo Database Record (c) 2020 APA, all rights reserved)</t>
  </si>
  <si>
    <t>http://search.ebscohost.com.proxy-ub.rug.nl/login.aspx?direct=true&amp;db=psyh&amp;AN=2015-17017-004&amp;site=ehost-live&amp;scope=site</t>
  </si>
  <si>
    <t>Identity processing styles during cultural transition: Construct and measurement.</t>
  </si>
  <si>
    <t>Szabo, Agnes; Ward, Colleen; Fletcher, Garth J. O.</t>
  </si>
  <si>
    <t>2016-18552-001</t>
  </si>
  <si>
    <t>10.1177/0022022116631825</t>
  </si>
  <si>
    <t>Acculturation; Identity Formation; Inventories; Psychometrics; Test Construction; Sociocultural Factors; Test Validity; Adulthood (18 yrs &amp; older); Young Adulthood (18-29 yrs); Thirties (30-39 yrs); Middle Age (40-64 yrs); Aged (65 yrs &amp; older); Male; Female</t>
  </si>
  <si>
    <t>Drawing from previous work on identity styles by Berzonsky, the current article introduces a new version of the Identity Style Inventory assessing social-cognitive information processing strategies during cultural transition (ISI-CT). The ISI-CT incorporates five distinct identity styles (analytical informational, exploratory informational, normative to the country of origin, normative to the host society, and diffuse-avoidant) and a measure of immigrant identity commitment. The article reports the construction of the ISI-CT and examines its factorial structure (Studies 1 and 2), convergent and discriminant validity (Study 1), and longitudinal relationships among subscales (Study 3). Relationships between demographic variables, including age, gender, length of stay, language proficiency, and cultural background, and the ISI-CT subscales are also investigated. Findings support reliability and validity of the ISI-CT as an assessment of the identity processes underlying identity development of people in cultural transition. The potential of this new measurement and construct to contribute to the understanding of the immigrant experience and the wider field of acculturation research is discussed. (PsycINFO Database Record (c) 2016 APA, all rights reserved)</t>
  </si>
  <si>
    <t>http://search.ebscohost.com.proxy-ub.rug.nl/login.aspx?direct=true&amp;db=psyh&amp;AN=2016-18552-001&amp;site=ehost-live&amp;scope=site</t>
  </si>
  <si>
    <t>Identity, belonging and intentions to leave of first and 1.5 generation FSU immigrants in Israel.</t>
  </si>
  <si>
    <t>2017-45833-001</t>
  </si>
  <si>
    <t>10.1007/s11205-017-1758-2</t>
  </si>
  <si>
    <t>Immigration; Jews; Religious Beliefs; Self-Concept; Belonging; Intention; Adulthood (18 yrs &amp; older); Young Adulthood (18-29 yrs); Thirties (30-39 yrs); Middle Age (40-64 yrs); Male; Female</t>
  </si>
  <si>
    <t>Recent studies examining immigrant intentions to leave the host country have focused on return migration to the origin country (De Haas and Fokkema in Demogr Res 25:755–782, 2011; De Haas et al. in J Int Migr Integr 16(2):415–429, 2015). The current study examines immigrant intentions to leave the host country, but not necessarily to return to the homeland. The predictive model, which focuses on immigrant subjective identity, was tested through a survey of 338 first and 1.5 generation Former Soviet Union (FSU) immigrants in Israel, who applied to a prominent NGO to obtain proof of their Jewishness. These individuals are from the largest recent immigrant group in Israel, and are highly represented among the young adult (aged 25–40) immigrants leaving Israel. The findings indicate that contrary to our expectations, Israeli local identity did not have a significant effect on the immigrants’ intentions to leave Israel. By contrast, Jewish identity and level of religiosity did play a significant role in attenuating the immigrant’s tendency to leave. This paper highlights the complex relationship between ethnic identities and religiosity among immigrants in general, and in Israel in particular. (PsycINFO Database Record (c) 2019 APA, all rights reserved)</t>
  </si>
  <si>
    <t>http://search.ebscohost.com.proxy-ub.rug.nl/login.aspx?direct=true&amp;db=psyh&amp;AN=2017-45833-001&amp;site=ehost-live&amp;scope=site</t>
  </si>
  <si>
    <t>Ideologies of Diversity and Inequality: Predicting Collective Action in Groups Varying in Ethnicity and Immigrant Status.</t>
  </si>
  <si>
    <t>Deaux, Kay; Reid, Anne; Martin, Daniela; Bikmen, Nida</t>
  </si>
  <si>
    <t>2006-02114-006</t>
  </si>
  <si>
    <t>10.1111/j.1467-9221.2006.00452.x</t>
  </si>
  <si>
    <t>Collective Behavior; Ethnic Identity; Immigration; Social Equality; Multiculturalism; Attitudes; Diversity; Adulthood (18 yrs &amp; older); Male; Female</t>
  </si>
  <si>
    <t>Ideological positions regarding social diversity and status inequality are examined as predictors of people's willingness to engage in collective action. Using social dominance theory and social identity theory, we hypothesized that the relationships between ideology, ethnic identification, and orientation toward collective action will vary depending on the position of one's group. Comparisons were made between four U.S. groups: White natives, White immigrants, Black/Latino natives, and Black/Latino immigrants. Groups differed in their endorsement of social diversity and social inequality, as well as in their orientation toward collective action and their ethnic group identification. For all groups, ethnic identity mediated the link between ideology and collective action, but the valence and magnitude of paths differed as a function of ethnicity and immigrant status. Social diversity was more critical for U.S. immigrants (White and Black/Latino); social inequality accounted for more variance in native-born U.S. groups (although in opposite directions for the two groups). (PsycINFO Database Record (c) 2016 APA, all rights reserved)</t>
  </si>
  <si>
    <t>http://search.ebscohost.com.proxy-ub.rug.nl/login.aspx?direct=true&amp;db=psyh&amp;AN=2006-02114-006&amp;site=ehost-live&amp;scope=site</t>
  </si>
  <si>
    <t>Immigrant acculturation and transnationalism: Israelis in the United States and Europe compared.</t>
  </si>
  <si>
    <t>Rebhun, Uzi</t>
  </si>
  <si>
    <t>Journal for the Scientific Study of Religion</t>
  </si>
  <si>
    <t>2014-37633-010</t>
  </si>
  <si>
    <t>10.1111/jssr.12135</t>
  </si>
  <si>
    <t>Acculturation; Immigration; Nationalism; Social Integration; Social Networks; Cross Cultural Differences; Adulthood (18 yrs &amp; older); Young Adulthood (18-29 yrs); Thirties (30-39 yrs); Middle Age (40-64 yrs); Male; Female</t>
  </si>
  <si>
    <t>This article examines relations between social integration into host societies, religio‐ethnic acculturation into group belonging, and ties to home country among Israeli émigrés in the United States and Europe. I use data from a 2009–2010 Internet survey into which I incorporated country‐contextual characteristics. The results of multivariate analyses show that a social integration combining duration of residence abroad and local citizenship enhances religio‐ethnic identification. Another measure of integration, social networks, deters group behaviors. All measures of general integration inhibit attachment to the home country, whereas religio‐ethnic acculturation is largely insignificant for transnationalism. The religiosity of the new country does not influence immigrants’ religio‐ethnic patterns or homeland attachment. Insofar as group size is a significant determinant of particularistic behaviors, it weakens them. The more policy‐based opportunities newcomers receive, the more they dissociate from group behaviors and homeland ties. Irrespective of individual and contextual factors, living in the United States encourages group affiliation more than living in Europe does. The results are discussed in reference to four working hypotheses—marginalization, integration, assimilation, and separation—and from a U.S.‐European comparative perspective. (PsycINFO Database Record (c) 2016 APA, all rights reserved)</t>
  </si>
  <si>
    <t>http://search.ebscohost.com.proxy-ub.rug.nl/login.aspx?direct=true&amp;db=psyh&amp;AN=2014-37633-010&amp;site=ehost-live&amp;scope=site</t>
  </si>
  <si>
    <t>Immigrant Acculturation, Gender and Health Behavior: A Research Note.</t>
  </si>
  <si>
    <t>Lopez-Gonzalez, Lorena; Aravena, Veronica C.; Hummer, Robert A.</t>
  </si>
  <si>
    <t>Social Forces</t>
  </si>
  <si>
    <t>2005-11852-020</t>
  </si>
  <si>
    <t>10.1353/sof.2005.0112</t>
  </si>
  <si>
    <t>University of North Carolina Press</t>
  </si>
  <si>
    <t>Acculturation; Health Behavior; Human Sex Differences; Immigration; Alcohol Drinking Patterns; Drug Usage; Tobacco Smoking; Adulthood (18 yrs &amp; older); Young Adulthood (18-29 yrs); Thirties (30-39 yrs); Middle Age (40-64 yrs); Male; Female</t>
  </si>
  <si>
    <t>Previous research shows that the health behavior of immigrants is favorable to that of native-born adults in the United States. We utilize pooled data from the 1998-2001 National Health Interview Surveys and multinomial logistic regression techniques to build on this literature and examine the association between acculturation and immigrant smoking and alcohol use. We also examine how acculturation relates to health behaviors by gender. Results indicate that the health behavior of more acculturated immigrant women is less positive than that of less acculturated women. For men, acculturation seems to make little difference for health behavior. Thus, it is important to not only consider how acculturation is related to health, but how the acculturation process differs across population subgroups. (PsycINFO Database Record (c) 2016 APA, all rights reserved)</t>
  </si>
  <si>
    <t>http://search.ebscohost.com.proxy-ub.rug.nl/login.aspx?direct=true&amp;db=psyh&amp;AN=2005-11852-020&amp;site=ehost-live&amp;scope=site</t>
  </si>
  <si>
    <t>Immigrant Arab Americans and alcohol use: Longitudinal study.</t>
  </si>
  <si>
    <t>Arfken, Cynthia L.; Broadbridge, Carissa L.; Jamil, Hikmet; Arnetz, Bengt B.</t>
  </si>
  <si>
    <t>2014-46296-035</t>
  </si>
  <si>
    <t>10.1007/s10903-013-9960-z</t>
  </si>
  <si>
    <t>Alcohol Drinking Patterns; Arabs; Immigration; Risk Factors; Language Proficiency; Refugees; Adulthood (18 yrs &amp; older); Male; Female</t>
  </si>
  <si>
    <t>English proficiency is associated with alcohol use in some immigrants groups, but little is known about its association among Arab Americans. Ethnographic work suggests gender, religion, education, and age influence prevalence of alcohol use among Arab Americans. Two years prospective study of recent Iraqi refugees and non-Iraqi Arab immigrants in Michigan using bilingual surveys and interviewers. At Time 1, prevalence of lifetime alcohol use was 20.5 % with males, Christians, better educated, older, and those with greater proficiency in English more likely to report ever drank. At Time 2, lifetime prevalence of drinking had increased to 34.0 %. In analysis of male new drinkers, risk factors were Christian, older age and greater proficiency in English. This study confirms drinking among recent immigrant Arab Americans varies by subgroups and suggests English proficiency may contribute to the increase in prevalence over time. (PsycINFO Database Record (c) 2016 APA, all rights reserved)</t>
  </si>
  <si>
    <t>http://search.ebscohost.com.proxy-ub.rug.nl/login.aspx?direct=true&amp;db=psyh&amp;AN=2014-46296-035&amp;site=ehost-live&amp;scope=site</t>
  </si>
  <si>
    <t>Immigrant Children in Austria: Aggressive Behavior and Friendship Patterns in Multicultural School Classes.</t>
  </si>
  <si>
    <t>Strohmeier, Dagmar; Spiel, Christiane</t>
  </si>
  <si>
    <t>Bullying, peer harassment, and victimization in the schools: The next generation of prevention.</t>
  </si>
  <si>
    <t>2004-00096-007</t>
  </si>
  <si>
    <t>Immigration; Multicultural Education; Peer Relations; Racial and Ethnic Relations; Schools; Aggressive Behavior; Friendship; Social Interaction; Bullying; Childhood (birth-12 yrs); School Age (6-12 yrs); Male; Female</t>
  </si>
  <si>
    <t>As a consequence of worldwide waves of immigration there is a permanent increase of ethnically mixed school classes in countries all over the world. However, there is a lack of empirical studies on interethnic relationships which differentiate immigrant children based on their countries of origin. The present paper focuses on these topics and provides data of both negative and positive aspects of interethnic interactions. Direct and indirect forms of bullying, friendship patterns, and peer acceptance in 326 native and 242 immigrant children aged 11 to 14 (57% native Austrian, 22% former Yugoslavian, 14% Turkish/Kurdish, 7% rest group) in 29 ethnically mixed school classes (6th and 7th grades) were examined. Bullying was measured via the Olweus Bully/Victim Questionnaire and via peer nomination techniques, friendship patterns via self-ratings. Peer acceptance was defined by social preference scores on positive and negative sociometric items. According to peer ratings Austrian children were found to be more often victims (9%) and bullies (12%) of direct bullying than immigrant children. Prevalence rates in immigrant children varied depending on their country of origin between 2% and 8% for victims and 3% to 7% for bullies. Results suggested that Turkish/Kurdish children are at risk concerning their social integration in class (e.g., they had the fewest number of friends in Class, reported higher levels of loneliness at school, and were less accepted by their peers compared to Austrians and former Yugoslavian children). Friendship patterns differed considerably between native children and children of the three immigrant groups. Findings are discussed concerning differences in integration strategies of immigrant children depending on their country of origin. (PsycINFO Database Record (c) 2020 APA, all rights reserved)</t>
  </si>
  <si>
    <t>http://search.ebscohost.com.proxy-ub.rug.nl/login.aspx?direct=true&amp;db=psyh&amp;AN=2004-00096-007&amp;site=ehost-live&amp;scope=site</t>
  </si>
  <si>
    <t>Journal of Applied School Psychology</t>
  </si>
  <si>
    <t>2003-10955-007</t>
  </si>
  <si>
    <t>10.1300/J008v19n02_07</t>
  </si>
  <si>
    <t>Aggressive Behavior; Cross Cultural Communication; Friendship; Immigration; Peer Relations; Social Integration; Bullying; Childhood (birth-12 yrs); School Age (6-12 yrs); Adolescence (13-17 yrs); Male; Female</t>
  </si>
  <si>
    <t>The present paper focuses on the topics like immigration and interethnic relationships and provides data of both negative and positive aspects of interethnic interactions. Direct and indirect forms of bullying, friendship patterns, and peer acceptance in 326 native and 242 immigrant children aged 11 to 14 (57% native Austrian, 22% former Yugoslavian, 14% Turkish/Kurdish, 7% rest group) in 29 ethnically mixed school classes (6th and 7th grades) were examined. Bullying was measured via the Olweus Bully/Victim Questionnaire and via peer nomination techniques, friendship patterns via self-ratings. Peer acceptance was defined by social preference scores on positive and negative sociometric items. According to peer ratings Austrian children were found to be more often victims and bullies of direct bullying than immigrant children. Prevalence rates in immigrant children varied depending on their country of origin between 2% and 8% for victims and 3% to 7% for bullies. Results suggested that Turkish/Kurdish children are at risk concerning their social integration in class (e.g., they had the fewest number of friends in class, reported higher levels of loneliness at school etc). Friendship patterns differed considerably between native children and children of the three immigrant groups. (PsycINFO Database Record (c) 2016 APA, all rights reserved)</t>
  </si>
  <si>
    <t>http://search.ebscohost.com.proxy-ub.rug.nl/login.aspx?direct=true&amp;db=psyh&amp;AN=2003-10955-007&amp;site=ehost-live&amp;scope=site</t>
  </si>
  <si>
    <t>Immigrant children: Psychiatric disorder, school performance, and service utilization.</t>
  </si>
  <si>
    <t>Munroe-Blum, Heather; Boyle, Michael H.; Offord, David R.; Kates, Nicholas</t>
  </si>
  <si>
    <t>2013-42942-005</t>
  </si>
  <si>
    <t>10.1111/j.1939-0025.1989.tb02740.x</t>
  </si>
  <si>
    <t>American Orthopsychiatric Association, Inc.</t>
  </si>
  <si>
    <t>Academic Achievement; Health Care Utilization; Immigration; Mental Disorders; Mental Health Services; Childhood (birth-12 yrs); Preschool Age (2-5 yrs); School Age (6-12 yrs); Adolescence (13-17 yrs); Male; Female</t>
  </si>
  <si>
    <t>Data from the Ontario Child Health Study were used to examine the strength of association between child immigrant status and child psychiatric disorder, poor school performance, and use of mental health I social services. Bivariate results indicate that immigrant children are not at increased risk for psychiatric disorder or poor school performance and that they use mental health and social services significantly less often than do their nonimmigrant peers. Implications of the findings are explored. (PsycINFO Database Record (c) 2017 APA, all rights reserved)</t>
  </si>
  <si>
    <t>http://search.ebscohost.com.proxy-ub.rug.nl/login.aspx?direct=true&amp;db=psyh&amp;AN=2013-42942-005&amp;site=ehost-live&amp;scope=site</t>
  </si>
  <si>
    <t>Immigrant community integration in world cities.</t>
  </si>
  <si>
    <t>Lamanna, Fabio; Lenormand, Maxime; Salas-Olmedo, María Henar; Romanillos, Gustavo; Gonçalves, Bruno; Ramasco, José J.</t>
  </si>
  <si>
    <t>2018-15140-001</t>
  </si>
  <si>
    <t>10.1371/journal.pone.0191612</t>
  </si>
  <si>
    <t>Globalization; Immigration; Social Issues; Multiculturalism</t>
  </si>
  <si>
    <t>As a consequence of the accelerated globalization process, today major cities all over the world are characterized by an increasing multiculturalism. The integration of immigrant communities may be affected by social polarization and spatial segregation. How are these dynamics evolving over time? To what extent the different policies launched to tackle these problems are working? These are critical questions traditionally addressed by studies based on surveys and census data. Such sources are safe to avoid spurious biases, but the data collection becomes an intensive and rather expensive work. Here, we conduct a comprehensive study on immigrant integration in 53 world cities by introducing an innovative approach: an analysis of the spatio-temporal communication patterns of immigrant and local communities based on language detection in Twitter and on novel metrics of spatial integration. We quantify the Power of Integration of cities ±their capacity to spatially integrate diverse cultures- and characterize the relations between different cultures when acting as hosts or immigrants. (PsycInfo Database Record (c) 2020 APA, all rights reserved)</t>
  </si>
  <si>
    <t>http://search.ebscohost.com.proxy-ub.rug.nl/login.aspx?direct=true&amp;db=psyh&amp;AN=2018-15140-001&amp;site=ehost-live&amp;scope=site</t>
  </si>
  <si>
    <t>Immigrant entrepreneurship from a social psychological perspective.</t>
  </si>
  <si>
    <t>Robertson, Daniel W.; Grant, Peter R.</t>
  </si>
  <si>
    <t>2016-05812-001</t>
  </si>
  <si>
    <t>10.1111/jasp.12369</t>
  </si>
  <si>
    <t>Entrepreneurship; Identity Formation; Immigration; Social Psychology; Adulthood (18 yrs &amp; older); Young Adulthood (18-29 yrs); Thirties (30-39 yrs); Middle Age (40-64 yrs); Aged (65 yrs &amp; older); Male; Female</t>
  </si>
  <si>
    <t>We examined immigrant entrepreneurship from a social psychological perspective with an emphasis on Social Identity Theory (SIT). Immigrant entrepreneurs from across Canada (N=122) completed a questionnaire about their experiences as Canadian business owners. The results showed that business decisions are, indeed, related to social psychological influences. The use of social capital, the strength of cultural and national identity, acculturation and perceived discrimination were related to decisions made throughout the course of the business, from the initial motivations for pursuing entrepreneurship, to the intention to continue running a business in Canada. Overall, being an immigrant entrepreneur had social psychological implications and, in the future, the influence of identity, acculturation and discrimination among this group deserves further attention. (PsycINFO Database Record (c) 2016 APA, all rights reserved)</t>
  </si>
  <si>
    <t>http://search.ebscohost.com.proxy-ub.rug.nl/login.aspx?direct=true&amp;db=psyh&amp;AN=2016-05812-001&amp;site=ehost-live&amp;scope=site</t>
  </si>
  <si>
    <t>Immigrant generation and physical activity among Mexican, Chinese &amp; Filipino adults in the U.S.</t>
  </si>
  <si>
    <t>Afable-Munsuz, Aimee; Ponce, Ninez A.; Rodriguez, Michael; Perez-Stable, Eliseo J.</t>
  </si>
  <si>
    <t>2010-09464-018</t>
  </si>
  <si>
    <t>10.1016/j.socscimed.2010.02.026</t>
  </si>
  <si>
    <t>Immigration; Physical Activity; Socioeconomic Status; Asians; Mexican Americans; Adulthood (18 yrs &amp; older); Young Adulthood (18-29 yrs); Thirties (30-39 yrs); Middle Age (40-64 yrs); Male; Female</t>
  </si>
  <si>
    <t>Migrant studies of physical activity (PA) can provide insight into the prevention of chronic disease. It is unclear, however, whether PA increases or decreases the longer migrants live in their host country. In the US, studies on immigrants’ length of residence in the US and PA are inconclusive and many studies do not adequately consider the role of socioeconomic status (SES). Using California data, we examine relationships between immigrant generation and physical activity (PA) among Mexican, Chinese and Filipino adults, who represent the three largest immigrant groups in the US, and the extent to which the relationships are confounded by SES. Data from the 2000 US Census was linked with data on adults 18 years and older from the 2005 California Health Interview Survey. PA was measured in three different domains: leisure time (LTPA), non-leisure time (NLTPA) and any PA. Logistic regression was used to examine whether a wide range of SES factors, measured at the respondent and neighborhood levels, influenced the relationship between immigrant generation and PA in all domains and in different ethnic origin groups. Generation was significantly associated with LTPA among Mexican and Chinese adults and with NLTPA among all 3 ethnic origin groups; however the nature of the relationships varied. After adjusting for individual and neighborhood SES factors, a positive association between generation and LTPA remained among Mexican adults, and negative association between generation and NLTPA remained among Chinese and Filipino adults. These results underscore the importance of comparative studies of immigrant generation and PA and consideration of SES factors to identify pathways linking generation to PA. In the context of increasing rates of chronic disease, the study of transitions in PA among immigrants will continue to be critical to promoting the public health of diverse populations in countries such as the US. (PsycINFO Database Record (c) 2016 APA, all rights reserved)</t>
  </si>
  <si>
    <t>http://search.ebscohost.com.proxy-ub.rug.nl/login.aspx?direct=true&amp;db=psyh&amp;AN=2010-09464-018&amp;site=ehost-live&amp;scope=site</t>
  </si>
  <si>
    <t>Immigrant Job Hunting, Labour Market Experiences, and Feelings about Occupational Satisfaction in New Zealand: An Exploratory Study.</t>
  </si>
  <si>
    <t>Mace, Karen A.; Atkins, Stephen; Fletcher, Richard; Carr, Stuart C.</t>
  </si>
  <si>
    <t>New Zealand Journal of Psychology</t>
  </si>
  <si>
    <t>2005-12109-005</t>
  </si>
  <si>
    <t>New Zealand Psychological Society</t>
  </si>
  <si>
    <t>Immigration; Job Satisfaction; Job Search; Labor Market; Adulthood (18 yrs &amp; older); Young Adulthood (18-29 yrs); Thirties (30-39 yrs); Middle Age (40-64 yrs); Male; Female</t>
  </si>
  <si>
    <t>We investigated how an integrated model of often under- or un-employed immigrants' (a) job-hunting behaviours pre-interview, (b) positive behaviours used at interview, (c) cognitive flexibility, (d) acculturation style, and (e) acculturation 'fit' between (d) and employers' preferred style of acculturation for immigrants to adopt, predict how close immigrants come to finding full employment; and how this proximity to full employment may relate to broader feelings about occupational life. Seventy predominantly skilled immigrants to New Zealand provided indices of (a) to (d) through a sample survey, whilst (e) was measured with the added assistance of 20 experienced recruitment agencies, interviewed by telephone. Path analysis suggested that feelings about occupational life are related to proximity to full employment, which is itself predicted by a combination of (a) and (d), but not (b), (c) or (e). Links between proximity to employment and feelings about occupational life in New Zealand were unexpectedly negative, but only moderately stable. Our findings may challenge some of the received wisdom in the vocational literature, but are nonetheless consistent with implicit prejudice from prospective employers, and with a lived vocational experience of relative deprivation amongst immigrants themselves. (PsycINFO Database Record (c) 2017 APA, all rights reserved)</t>
  </si>
  <si>
    <t>http://search.ebscohost.com.proxy-ub.rug.nl/login.aspx?direct=true&amp;db=psyh&amp;AN=2005-12109-005&amp;site=ehost-live&amp;scope=site</t>
  </si>
  <si>
    <t>Immigrant status, acculturation and risk of overweight and obesity in adolescents living in Madrid (Spain): The AFINOS Study.</t>
  </si>
  <si>
    <t>Esteban-Gonzalo, Laura; Veiga, Óscar L.; Regidor, Enrique; Martínez, David; Marcos, Ascensión; Calle, Maria Elisa</t>
  </si>
  <si>
    <t>2015-13114-007</t>
  </si>
  <si>
    <t>10.1007/s10903-013-9933-2</t>
  </si>
  <si>
    <t>Acculturation; Immigration; Obesity; At Risk Populations; Adolescence (13-17 yrs); Male; Female</t>
  </si>
  <si>
    <t>Prior studies have identified a link between length of residence and overweight (including obesity) in immigrant populations. However, this link has not been confirmed in Europe. This study compares overweight prevalences in native Spanish and immigrant adolescents living in the Madrid region (Spain), and whether length of residence affects the risk of immigrant adolescents being overweight. The study population was a representative sample of adolescents aged 13–17 years (n = 2,081, 1,055 girls) who lived in Madrid. Data were collected from November 2007 to February 2008 through a cross-sectional survey in which self-reported height and weight were used to calculate BMI. Overall, no significant difference was detected in overweight risk between the Spanish and immigrant adolescents. However, immigrant adolescents residing in Spain for 6 years or under did show a higher overweight risk than both the Spanish adolescents (OR 1.57) and immigrants who had lived in Spain for longer than 6 years (OR 1.98). Changes in lifestyle associated to a longer duration of residence in Spain seems to have a slightly protective effect on the risk of being overweight in immigrant adolescents. (PsycINFO Database Record (c) 2016 APA, all rights reserved)</t>
  </si>
  <si>
    <t>http://search.ebscohost.com.proxy-ub.rug.nl/login.aspx?direct=true&amp;db=psyh&amp;AN=2015-13114-007&amp;site=ehost-live&amp;scope=site</t>
  </si>
  <si>
    <t>Immigrant women’s experiences of acculturative stress: Ordinary privileges, overt discrimination, and psychological well-being.</t>
  </si>
  <si>
    <t>Greenwood, Ronni Michelle; Adshead, Maura; Jay, Sarah</t>
  </si>
  <si>
    <t>Psychology of Women Quarterly</t>
  </si>
  <si>
    <t>2017-55641-007</t>
  </si>
  <si>
    <t>10.1177/0361684317719733</t>
  </si>
  <si>
    <t>Acculturation; Discrimination; Human Females; Immigration; Well Being; Adulthood (18 yrs &amp; older); Young Adulthood (18-29 yrs); Thirties (30-39 yrs); Middle Age (40-64 yrs); Female</t>
  </si>
  <si>
    <t>We examined the relation of two acculturation stressors, exclusion from ordinary privileges and overt discrimination, to two indicators of psychological well-being (i.e., psychiatric symptoms and satisfaction with life) among a diverse sample of immigrant women living in Ireland (N = 174). We grouped our sample into 'visible' immigrant women of color and 'nonvisible' White immigrant women. As expected, visible immigrant women reported more experiences of overt discrimination and fewer experiences of ordinary privileges than did nonvisible immigrant women. The associations of belonging to a visible immigrant group with both psychiatric symptoms and satisfaction with life were each mediated through ordinary privileges and overt discrimination. The magnitude of the two indirect effects was equal for psychiatric symptoms, but for satisfaction with life, the indirect effect through ordinary privileges was stronger. After accounting for ordinary privileges and overt discrimination, the average score for satisfaction with life was higher for visible immigrant women than for nonvisible immigrant women. These findings suggest that visible immigrant women experience exclusion from ordinary privileges to a greater extent than nonvisible immigrant women and that this type of exclusion is at least as detrimental to psychological health as more overt forms of discrimination. Our findings demonstrate the importance of attending to discrimination of both visible and nonvisible immigrants and highlight the importance of ordinary privileges to immigrants’ well-being in their countries of destination. We discuss implications for future research and social policy. (PsycINFO Database Record (c) 2018 APA, all rights reserved)</t>
  </si>
  <si>
    <t>http://search.ebscohost.com.proxy-ub.rug.nl/login.aspx?direct=true&amp;db=psyh&amp;AN=2017-55641-007&amp;site=ehost-live&amp;scope=site</t>
  </si>
  <si>
    <t>Immigrant workers’ organizational temporality: Association with cultural time orientation, acculturation, and mobile technology use.</t>
  </si>
  <si>
    <t>Lee, Sun Kyong; Flores, Marisa L.</t>
  </si>
  <si>
    <t>2019-21245-003</t>
  </si>
  <si>
    <t>10.1177/0893318918821727</t>
  </si>
  <si>
    <t>Acculturation; Business Organizations; Immigration; Technology; Mobile Phones; Social Integration; Adulthood (18 yrs &amp; older); Young Adulthood (18-29 yrs); Thirties (30-39 yrs); Middle Age (40-64 yrs); Male; Female</t>
  </si>
  <si>
    <t>Based on a meso-level model of organizational temporality, this study examined U.S. immigrant workers’ workplace temporal enactment and construal regarding cultural time orientation (monochronic vs. polychronic), acculturation type (assimilation, integration, segregation), and mobile technology use. Analyses revealed that cultural time orientation and acculturation type interacted to influence separated enactment of organizational temporality, and immigrant workers’ acculturation type and mobile use for work had significant interaction effects on their future- and present-time perspective. Participants with integrated and assimilated acculturation were more likely to experience time in ways consistent with the Western, industrialized organizations’ temporality, whereas those with the segregated acculturation reported a distinct pattern of temporal enactment and construal in relation to mobile phone use for work. (PsycINFO Database Record (c) 2019 APA, all rights reserved)</t>
  </si>
  <si>
    <t>http://search.ebscohost.com.proxy-ub.rug.nl/login.aspx?direct=true&amp;db=psyh&amp;AN=2019-21245-003&amp;site=ehost-live&amp;scope=site</t>
  </si>
  <si>
    <t>Immigrants' social integration as a function of approach–avoidance orientation and problem-solving style.</t>
  </si>
  <si>
    <t>Rubin, Mark; Watt, Sue E.; Ramelli, Marcella</t>
  </si>
  <si>
    <t>2012-14917-002</t>
  </si>
  <si>
    <t>10.1016/j.ijintrel.2011.12.009</t>
  </si>
  <si>
    <t>Avoidance; Immigration; Problem Solving; Social Integration; Independence (Personality); Adulthood (18 yrs &amp; older); Male; Female</t>
  </si>
  <si>
    <t>Previous research has shown that immigrants’ approach orientation positively predicts their attitudes towards contact with host nationals (Matschke &amp; Sassenberg, 2010). The present research builds on this previous work by investigating the extent to which immigrants’ independent vs. interdependent problem-solving style moderates the relation between approach–avoidance orientation and social integration. Interdependent problem-solvers rely on other people to achieve their goals. This interdependence was expected to reduce the influence of approach–avoidance orientation on integration amongst immigrants. Immigrants to Australia (N = 137) completed a questionnaire that included measures of approach–avoidance orientation and problem-solving style. Participants also completed three measures of social integration: (1) proportion of Australian friends, (2) feelings of inclusion in Australian society, and (3) satisfaction with employment, accommodation, and life in Australia. Consistent with previous research, there was a positive relation between approach and social integration and a negative relation between avoidance and social integration. Consistent with predictions, problem-solving style moderated the relation for approach orientation: Only immigrants who were independent problem-solvers showed a significant positive relation between approach and social integration. The results are discussed in relation to Gable’s (2006) model of approach and avoidance social goals and motives, and the implications for immigration services are considered. (PsycINFO Database Record (c) 2016 APA, all rights reserved)</t>
  </si>
  <si>
    <t>http://search.ebscohost.com.proxy-ub.rug.nl/login.aspx?direct=true&amp;db=psyh&amp;AN=2012-14917-002&amp;site=ehost-live&amp;scope=site</t>
  </si>
  <si>
    <t>Immigrants’ community engagement and well-being.</t>
  </si>
  <si>
    <t>Alfieri, Sara; Marzana, Daniela; Cipresso, Pietro</t>
  </si>
  <si>
    <t>2019-77492-008</t>
  </si>
  <si>
    <t>Community Involvement; Immigration; Self-Esteem; Well Being; Acculturation; Language Proficiency; Participation; Social Skills; Test Construction; Emerging Adulthood; Adulthood (18 yrs &amp; older); Young Adulthood (18-29 yrs); Male; Female</t>
  </si>
  <si>
    <t>The present work proposes looking into whether immigrants’ community engagement has any relationship with their well-being measured with self-esteem and linguistic and cultural competences. Five hundred and ten young immigrants participated in the study (Range 19-29 years; M = 23.75, SD = 2.92), filling out a self-report questionnaire containing measures aimed at investigating their wellbeing. Of these, 59.4% claimed to be engaged in local organization. We compared the groups of engaged and not engaged immigrants — with similar sociodemographic characteristics — with three indicators of well-being (self-esteem, mastery of the language, and knowledge of the culture of the hosting country). The results highlight that, compared to the not engaged, the engaged report statistically higher means for all the indicators of well-being utilized. In addition, statistically significant differences emerged with respect to the types of activities in which the young immigrants were engaged. Community engagement can thus be considered related to immigrants’ well-being. The operative results are discussed. (PsycINFO Database Record (c) 2019 APA, all rights reserved)</t>
  </si>
  <si>
    <t>http://search.ebscohost.com.proxy-ub.rug.nl/login.aspx?direct=true&amp;db=psyh&amp;AN=2019-77492-008&amp;site=ehost-live&amp;scope=site</t>
  </si>
  <si>
    <t>Immigration and attendant psychological sequelae: A comparison of three waves of Iraqi immigrants.</t>
  </si>
  <si>
    <t>Jamil, Hikmet; Nassar-McMillan, Sylvia C.; Lambert, Richard G.</t>
  </si>
  <si>
    <t>2007-07239-004</t>
  </si>
  <si>
    <t>10.1037/0002-9432.77.2.199</t>
  </si>
  <si>
    <t>Acculturation; Immigration; Stress; Anxiety; Major Depression; Posttraumatic Stress Disorder; Sequelae; Adulthood (18 yrs &amp; older); Male; Female</t>
  </si>
  <si>
    <t>Acculturation, the process by which individuals or groups transition from one or more cultures into another, can be complex and often stressful. In many cases, reason for immigration can contribute, both positively and negatively, to levels of acculturative stress. Immigrants to the United States from Iraq over the past several decades have shifted in terms of prevalence, reason for and ease of immigration, and pre and postmigration trauma among individuals and groups. The authors examined the psychological by-products of acculturative stress by measuring posttraumatic stress disorder, anxiety, and depression among three distinct waves of immigrants from Iraq. The authors found support for the hypotheses that these variables were positively correlated with recency of immigration. Implications for psychological practitioners are discussed. (PsycINFO Database Record (c) 2017 APA, all rights reserved)</t>
  </si>
  <si>
    <t>http://search.ebscohost.com.proxy-ub.rug.nl/login.aspx?direct=true&amp;db=psyh&amp;AN=2007-07239-004&amp;site=ehost-live&amp;scope=site</t>
  </si>
  <si>
    <t>Immigration and sleep problems in a Southern European country: Do immigrants get the best sleep?</t>
  </si>
  <si>
    <t>Villarroel, Nazmy; Artazcoz, Lucía</t>
  </si>
  <si>
    <t>Behavioral Medicine</t>
  </si>
  <si>
    <t>2017-43261-001</t>
  </si>
  <si>
    <t>10.1080/08964289.2015.1122568</t>
  </si>
  <si>
    <t>Immigration; Insomnia; Sleep Wake Disorders; Epidemiology; Family; Human Sex Differences; Social Support; Socioeconomic Status; European Cultural Groups; Adolescence (13-17 yrs); Adulthood (18 yrs &amp; older); Young Adulthood (18-29 yrs); Thirties (30-39 yrs); Middle Age (40-64 yrs); Male; Female</t>
  </si>
  <si>
    <t>This study analyzes the differences in the prevalence of insomnia symptoms and nonrestorative sleep (NRS) between people born in Spain and immigrants from 7 countries with most immigrants in Spain. Data come from the 2006 Spanish National Health Survey. The sample was composed of all individuals aged 16 to 64 years from Spain and the 7 countries with most immigrants in Spain (N = 22,224). In both sexes, people from Bolivia had a higher prevalence of insomnia symptoms and NRS. Conversely, people from Ecuador, Morocco, and Romania had less insomnia symptoms and NRS than Spanish-born participants. No differences were found between Spanish-born participants and Colombian, Peruvian, and Argentinian women. Poor living conditions in the country of origin and in the host country, discrimination, and culturally related lifestyles could be related to poorer sleep health among Bolivian men. Acculturation may explain the similar sleep health patterns noted between Spanish-born participants and long-term immigrants. (PsycINFO Database Record (c) 2019 APA, all rights reserved)</t>
  </si>
  <si>
    <t>http://search.ebscohost.com.proxy-ub.rug.nl/login.aspx?direct=true&amp;db=psyh&amp;AN=2017-43261-001&amp;site=ehost-live&amp;scope=site</t>
  </si>
  <si>
    <t>Immigration as a theologizing experience: Spiritual well-being as a moderating factor in migratory grief and acculturation.</t>
  </si>
  <si>
    <t>Sharp, Irma A.</t>
  </si>
  <si>
    <t>2011-99070-428</t>
  </si>
  <si>
    <t>Acculturation; Grief; Immigration; Spirituality; Well Being; Spiritual Well Being; Adulthood (18 yrs &amp; older)</t>
  </si>
  <si>
    <t>The purpose of this study was to investigate the relationship of spiritual well-being to migratory grief and acculturation. The study employed a cross-sectional design and a convenience sampling method. Data were collected from 75 Mexican immigrant adult education students in the city of Chicago. Instruments used to collect data were a demographic form, Spiritual Well-Being Scale, Migratory Grief and Loss Questionnaire, and the Stephenson Multigroup Acculturation Scale. All instruments were translated into Spanish, the native language of the participants. Multiple regression analysis was used to test the moderator effects of existential well-being and religious well-being, the two sub-scales of the Spiritual Well-Being Scale. Existential well-being and religious well-being failed to show a moderator effect. A moderate positive correlation was found between migratory grief and acculturation-degree of immersion in the ethnic society. This study also found a moderate negative correlation between self-perceived adaptation and acculturation-degree of immersion in the dominant society. This study extends current knowledge on the spiritual well-being of Mexican immigrants. (PsycINFO Database Record (c) 2019 APA, all rights reserved)</t>
  </si>
  <si>
    <t>http://search.ebscohost.com.proxy-ub.rug.nl/login.aspx?direct=true&amp;db=psyh&amp;AN=2011-99070-428&amp;site=ehost-live&amp;scope=site</t>
  </si>
  <si>
    <t>Immigration from the perspective of hosts and immigrants: Roles of psychological essentialism and social identity.</t>
  </si>
  <si>
    <t>Bastian, Brock; Haslam, Nick</t>
  </si>
  <si>
    <t>Asian Journal of Social Psychology</t>
  </si>
  <si>
    <t>2008-06289-004</t>
  </si>
  <si>
    <t>10.1111/j.1467-839X.2008.00250.x</t>
  </si>
  <si>
    <t>Immigration; Social Identity; Social Psychology; Stereotyped Attitudes; Adulthood (18 yrs &amp; older); Male; Female</t>
  </si>
  <si>
    <t>Implicit person theory research can be conceptualized within the framework of psychological essentialism. Essentialist beliefs are associated with entity theories and both predict phenomena such as stereotyping. The present research extended previous work on the links between implicit theories and social identity processes, examining how essentialist beliefs are associated with social identification and processes related to prejudice and intergroup perception. After developing a new measure of essentialist beliefs in Study 1, Study 2 showed that these beliefs were associated with negative bias towards immigrants, particularly when participants were primed with an exclusive social identity. In Study 3, essentialist beliefs among immigrants moderated their adoption of Australian identity as a self-guide during acculturation. Essentialist beliefs therefore play a significant role in the psychology of social identity. (PsycINFO Database Record (c) 2016 APA, all rights reserved)</t>
  </si>
  <si>
    <t>http://search.ebscohost.com.proxy-ub.rug.nl/login.aspx?direct=true&amp;db=psyh&amp;AN=2008-06289-004&amp;site=ehost-live&amp;scope=site</t>
  </si>
  <si>
    <t>Immigration status, acculturation, and dating violence risk for Hispanic adolescent girls in New Mexico.</t>
  </si>
  <si>
    <t>Ramos, Mary M.; Green, Dan; Booker, John; Nelson, Anna</t>
  </si>
  <si>
    <t>2011-20756-030</t>
  </si>
  <si>
    <t>10.1007/s10995-010-0653-0</t>
  </si>
  <si>
    <t>Acculturation; Adolescent Attitudes; Immigration; Social Dating; Dating Violence; Human Females; Risk Factors; Violence; Adolescence (13-17 yrs); Adulthood (18 yrs &amp; older); Young Adulthood (18-29 yrs); Female</t>
  </si>
  <si>
    <t>Little data exist on dating violence experienced by immigrant Hispanic adolescents. The present study examined the relationships between immigration status, language spoken at home, and dating violence experienced by Hispanic adolescent girls in New Mexico. Data from the 2007 New Mexico Youth Risk and Resiliency Surveys were analyzed. Adjusted logistic regression analyses were conducted among the full sample of Hispanic females (N = 3,412) and among strata based on immigration status. Immigrant Hispanic girls were as likely as non-immigrant Hispanic girls to have experienced dating violence in the prior year (P = 0.93). Among immigrant Hispanic girls, those who were Non-English-dominant were one-fourth as likely to have experienced dating violence as those immigrant girls who were English-dominant (aOR 0.27 [95% CI 0.08-0.87]). Among US-born Hispanic girls, those who were Non-English-dominant were less likely to have experienced dating violence; however, this value did not reach statistical significance (aOR 0.65 [95% CI 0.33-1.27]). Past sexual experience was a significant risk factor for dating violence for US-born Hispanic girls (aOR 4.99 [95% CI 3.18-7.83]) but not for immigrant Hispanic girls (aOR 1.66 [95% CI 0.63-4.43]). Immigrant status was not found to be protective against dating violence for New Mexico Hispanic girls. However, those immigrant girls who were less acculturated in terms of language used at home were found to have only a quarter of the risk of dating violence as those more acculturated. The use of heritage language by immigrant Hispanic girls may be a protective factor against dating violence. Further studies are indicated to confirm this finding. (PsycINFO Database Record (c) 2019 APA, all rights reserved)</t>
  </si>
  <si>
    <t>http://search.ebscohost.com.proxy-ub.rug.nl/login.aspx?direct=true&amp;db=psyh&amp;AN=2011-20756-030&amp;site=ehost-live&amp;scope=site</t>
  </si>
  <si>
    <t>Immigration stress, exposure to traumatic life experiences, and problem drinking among first-generation immigrant Latino couples.</t>
  </si>
  <si>
    <t>Falconier, Mariana K.; Huerta, Monica; Hendrickson, Ed</t>
  </si>
  <si>
    <t>Journal of Social and Personal Relationships</t>
  </si>
  <si>
    <t>2016-23118-003</t>
  </si>
  <si>
    <t>10.1177/0265407515578825</t>
  </si>
  <si>
    <t>Alcohol Abuse; Couples; Immigration; Stress; Trauma; Adulthood (18 yrs &amp; older); Male; Female</t>
  </si>
  <si>
    <t>This study explored the actor and partner effects of immigration stress and its different dimensions on problem drinking above and beyond the effects of exposure to traumatic life experiences in immigrant Latino couples. The study was guided by Lazarus and Folkman’s stress theory and Bodenmann’s systemic–transactional stress model for couples and used data collected from 104 couples living in the Washington, DC metropolitan area. The main results from the path model analysis indicated that men’s problem drinking was significantly and positively associated with their exposure to traumatic life experiences but not with their overall immigration stress and each of its different dimensions. By contrast, women’s problem drinking was not significantly related to their exposure to traumatic life experiences, but it was associated positively with their overall immigration stress and, specifically, stress from language and occupational challenges and missing their family. Women’s problem drinking was also related but in a negative direction with men’s overall immigration stress, and specifically, acculturation-related dimensions of immigration stress (stress from legal, novelty, and occupational challenges). These findings are interpreted in the context of sex differences in coping and the cultural values of the Latino population. Limitations, research, and clinical implications of the findings are also discussed. (PsycINFO Database Record (c) 2016 APA, all rights reserved)</t>
  </si>
  <si>
    <t>http://search.ebscohost.com.proxy-ub.rug.nl/login.aspx?direct=true&amp;db=psyh&amp;AN=2016-23118-003&amp;site=ehost-live&amp;scope=site</t>
  </si>
  <si>
    <t>Immigration transition and depressive symptoms: Four major ethnic groups of midlife women in the United States.</t>
  </si>
  <si>
    <t>Im, Eun-Ok; Chang, Sun Ju; Chee, Wonshik; Chee, Eunice; Mao, Jun James</t>
  </si>
  <si>
    <t>2015-15240-007</t>
  </si>
  <si>
    <t>10.1080/07399332.2014.924518</t>
  </si>
  <si>
    <t>Depression (Emotion); Human Females; Immigration; Racial and Ethnic Groups; Symptoms; Middle Adulthood; Adulthood (18 yrs &amp; older); Middle Age (40-64 yrs); Female</t>
  </si>
  <si>
    <t>The purpose of this study was to explore the relationships between immigration transition and depressive symptoms among 1,054 midlife women in the United States. This was a secondary analysis of the data from two national Internet survey studies. Questions on background characteristics and immigration transition and the Depression Index for Midlife Women were used to collect the data. The data were analyzed using inferential statistics including multiple regressions. Immigrants reported lower numbers of symptoms and less severe symptoms than nonimmigrants (p &lt;.01). When controlling for background characteristics, self-reported racial/ethnic identity and immigration status were significant predictors of depressive symptoms (R² =.01, p &lt;.05). (PsycInfo Database Record (c) 2020 APA, all rights reserved)</t>
  </si>
  <si>
    <t>http://search.ebscohost.com.proxy-ub.rug.nl/login.aspx?direct=true&amp;db=psyh&amp;AN=2015-15240-007&amp;site=ehost-live&amp;scope=site</t>
  </si>
  <si>
    <t>Immigration, acculturation, and academic attitudes and performance among Latino adolescents.</t>
  </si>
  <si>
    <t>Aretakis, Maria Tsitsis</t>
  </si>
  <si>
    <t>2012-99120-244</t>
  </si>
  <si>
    <t>Academic Achievement; Acculturation; Adolescent Development; Ethnic Identity; Immigration; Latinos/Latinas; Adolescence (13-17 yrs)</t>
  </si>
  <si>
    <t>This dissertation investigates the impact of immigrant status, acculturation, and ethnic identity on Latino adolescents' academic attitudes and performance. It explores the phenomenon known as the 'immigrant paradox,' whereby early generation adolescents exhibit more positive academic outcomes than their later generation peers, and tests whether the immigrant paradox can be explained via the processes of acculturation, ethnic identity, family obligation, cultural values like familismo, and belief in the American Dream. Using a mixed methods design, the study also investigates how family immigration and education stories impact the belief in the American Dream and educational beliefs and values. The quantitative study uses self-report survey data from 223 Latino 9th graders (and a subset of 135 Dominican 9 th graders) to investigate the presence of the 'immigrant paradox' and the underlying processes which may explain the impact of acculturation on academic outcomes. Findings from this study provide evidence for the 'immigrant paradox' in both the full sample as well as the Dominican subset. Furthermore, family obligation was found to have a significant positive effect on academic attitudes, and both familismo and belief in the American Dream were found to moderate the impact of acculturation on academic outcomes. These findings point to the importance of family processes and cultural values in motivating children of immigrants and later generation peers to succeed academically. The qualitative study continues to explore these relations by reviewing the family immigration and education stories of a subset of the 223 students. Students who reported family members immigrating to the U.S. to improve the lives of the next generation were more likely to believe in the American Dream. Family stories of positive educational experiences were positively related to adolescents' beliefs about the value of education, while family stories of negative peer interactions were negatively related to adolescents' beliefs about the value of education. Family stories of family-related school struggles were significantly related to greater academic efficacy. Findings from the qualitative study illustrate the potential motivational role of family stories on Latino adolescent educational beliefs and values and support the important influence of family factors on academic attitudes found in the quantitative study. (PsycINFO Database Record (c) 2016 APA, all rights reserved)</t>
  </si>
  <si>
    <t>http://search.ebscohost.com.proxy-ub.rug.nl/login.aspx?direct=true&amp;db=psyh&amp;AN=2012-99120-244&amp;site=ehost-live&amp;scope=site</t>
  </si>
  <si>
    <t>Immigration, gender, and psychosocial adjustment: A study of 150 immigrant couples in Israel.</t>
  </si>
  <si>
    <t>Remennick, Larissa</t>
  </si>
  <si>
    <t>Sex Roles: A Journal of Research</t>
  </si>
  <si>
    <t>2008-14048-006</t>
  </si>
  <si>
    <t>10.1007/s11199-005-8297-z</t>
  </si>
  <si>
    <t>Adjustment; Couples; Human Sex Differences; Immigration; Psychosocial Factors; Emotional Adjustment; Social Adjustment; Well Being; Adulthood (18 yrs &amp; older); Thirties (30-39 yrs); Middle Age (40-64 yrs); Male; Female</t>
  </si>
  <si>
    <t>Research on gender differences in the process of psychosocial adjustment of recent immigrants is scant. This study was designed to assess occupational, social, and personal/psychological aspects of adjustment to life in Israel among 150 heterosexual couples that immigrated together from the former Soviet Union after 1990. The mean age of participants was 46, over 60% had postsecondary education, and have lived in Israel for the average of 9 years. The study included a structured survey and in-depth interviews with 15 couples. The results suggest that overall levels of adjustment and well-being reported by men and women are rather similar, although they take somewhat different paths toward social integration. Men were doing better in the economic/occupational domain, whereas women were more active in the social domain (e.g., building their personal networks, exploring new lifestyles). Both men and women had experienced occupational downgrading in Israel, but more women worked in physically-demanding jobs such as geriatric nursing and cleaning. Women suffered a more dramatic occupational downgrading than men, as well as lower job security and under/unemployment. Yet, they showed more flexibility and tolerance of their new work roles. No tangible gender differences have been found in the general indicators of psychosocial well-being and overall satisfaction with life in Israel. Processes of social adjustment among immigrants from the former Soviet Union may be less gendered than in other immigrant communities, reflecting more egalitarian gender relations in the Russian/Soviet culture. (PsycINFO Database Record (c) 2019 APA, all rights reserved)</t>
  </si>
  <si>
    <t>http://search.ebscohost.com.proxy-ub.rug.nl/login.aspx?direct=true&amp;db=psyh&amp;AN=2008-14048-006&amp;site=ehost-live&amp;scope=site</t>
  </si>
  <si>
    <t>Immigration, school, physical activity and sport. Analysis of sport acculturation in Spain.</t>
  </si>
  <si>
    <t>Garrido, Ángeles Arjona; Olmos, Juan Carlos Checa; Arjona, Noemí García; Pardo, Rodrigo</t>
  </si>
  <si>
    <t>Kinesiology</t>
  </si>
  <si>
    <t>2012-20642-012</t>
  </si>
  <si>
    <t>Fakultet za Fizicku Kulturu</t>
  </si>
  <si>
    <t>Acculturation; Immigration; Physical Activity; Secondary Education; Sports; Schools; Adolescence (13-17 yrs); Adulthood (18 yrs &amp; older); Young Adulthood (18-29 yrs); Male; Female</t>
  </si>
  <si>
    <t>The aim of this paper is to understand the role of physical activity and sport in the process of acculturation of immigrant students in secondary schools enrolled in formal education in the province of Almeria (Spain). For this purpose, we have created the Physical Activity and Sport Acculturation Index (PASAI), following the main dimensions that define the social integration of immigrants in the field of physical activity and sport (PAS): mixed relationships, cultural references, engagement and transnationality. A survey was administered to 221 immigrant students, aged 14 to 18 years, enrolled in secondary schools. The results show that the levels of participation in physical activity and sport in young immigrants were lower than the Spanish. Moreover, generation and origin emerged as important elements in the process of sport acculturation; young African—Sub Saharan and Maghrebi—immigrants obtained a lower degree of sports acculturation; and the first generation students attained a lower level of sports acculturation than those of the 1.5 and second generations. In conclusion, schools should review their educational activities if they want to eliminate inequalities in the acculturation process of students from different origins. (PsycINFO Database Record (c) 2016 APA, all rights reserved)</t>
  </si>
  <si>
    <t>http://search.ebscohost.com.proxy-ub.rug.nl/login.aspx?direct=true&amp;db=psyh&amp;AN=2012-20642-012&amp;site=ehost-live&amp;scope=site</t>
  </si>
  <si>
    <t>Immigration, segregation, and poverty.</t>
  </si>
  <si>
    <t>Stoll, Michael A.</t>
  </si>
  <si>
    <t>Immigration, poverty, and socioeconomic inequality.</t>
  </si>
  <si>
    <t>2014-20294-004</t>
  </si>
  <si>
    <t>Russell Sage Foundation</t>
  </si>
  <si>
    <t>Citizenship; Immigration; Language Proficiency; Poverty; Social Integration</t>
  </si>
  <si>
    <t>Immigration, especially from Latin America and Asia, has changed and continues to change the demographic landscape in the United States. This chapter is concerned with factors that influence immigrant segregation as well as whether and how immigration affects a host of concerns including racial segregation, immigrant poverty, and English-language proficiency. It explores the extent of residential segregation of immigrants, whether and the extent to which immigration influences racial and ethnic segregation in the United States, and whether and to what extent immigrant segregation influences poverty and English-language acquisition. Thus, the central questions follow: (1) How segregated are immigrants from natives, how does this vary across regions of the United States and across different immigrant groups, and what the broad determinants of this segregation? (2) Does immigration reduce the degree of residential homogeneity experienced by traditionally segregated native-born groups, in particular African Americans? (3) Does immigrant segregation aggravate poverty and linguistic isolation among the foreign born? Pursuit of these questions is important not only to improve our understanding of these relationships, but also because the answers to them might prove useful for public policy. (PsycInfo Database Record (c) 2020 APA, all rights reserved)</t>
  </si>
  <si>
    <t>http://search.ebscohost.com.proxy-ub.rug.nl/login.aspx?direct=true&amp;db=psyh&amp;AN=2014-20294-004&amp;site=ehost-live&amp;scope=site</t>
  </si>
  <si>
    <t>Immigration, social integration and mental health in Norway, with focus on gender differences.</t>
  </si>
  <si>
    <t>Dalgard, Odd Steffen; Thapa, Suraj Bahadur</t>
  </si>
  <si>
    <t>Clinical Practice and Epidemiology in Mental Health</t>
  </si>
  <si>
    <t>2008-15832-001</t>
  </si>
  <si>
    <t>10.1186/1745-0179-3-24</t>
  </si>
  <si>
    <t>Human Sex Differences; Immigration; Mental Health; Psychological Stress; Social Integration; Countries; Distress; Employment Status; Social Support; Male; Female</t>
  </si>
  <si>
    <t>Background: Studies have shown that social integration may have a positive as well as a negative effect on the mental health of immigrants, depending on the social circumstances. Aims of the study: To investigate the relationship between social integration and psychological distress in immigrants in Oslo, Norway, with focus on gender differences. Methods: The study was based on data from a community survey in Oslo (N = 15899), and included 1448 immigrants from non-Western and 1059 immigrants from Western countries. Psychological distress was measured by a 10 items version of Hopkins Symptom Check List (HSCL-10), and social integration was measured by an index based on four items: Knowledge of the Norwegian language, reading Norwegian newspapers, visits by Norwegians and receiving help from Norwegians. Information on paid employment, household income, marital status, social support and conflicts in intimate relationships was also included in the study. Results: The non-western immigrants showed a higher level of psychological distress than the immigrants from western countries. In men this could be explained by the combination of less social integration, less employment, lower income, less social support and more conflicts in intimate relationships among non-western compared to western immigrants. In women the difference in level of psychological stress could not be explained by these variables, even if it was reduced. A reason for this seemed to be that social integration in non-western immigrants had a different effect on mental health in men and women. In men, social integration showed a positive effect through employment and income, as well as a positive effect in other areas. Also in non-western women social integration showed a positive effect through greater access to employment and income, but this effect was leveled out by integration causing problems in other areas. Conclusion: Unexpectedly, social integration in non-western immigrants was associated with good mental health in men, but not in women. A possible explanation for this might be that the traditional female role in these countries is more challenged by social integration into a Western country than the male role, resulting in conflicting norms, threat to the self and/or loss of identity. (PsycINFO Database Record (c) 2016 APA, all rights reserved)</t>
  </si>
  <si>
    <t>http://search.ebscohost.com.proxy-ub.rug.nl/login.aspx?direct=true&amp;db=psyh&amp;AN=2008-15832-001&amp;site=ehost-live&amp;scope=site</t>
  </si>
  <si>
    <t>Immigration, unemployment and career counseling: A multicultural perspective.</t>
  </si>
  <si>
    <t>Antoniou, Alexander-Stamatios G.; Dalla, Marina</t>
  </si>
  <si>
    <t>Handbook of managerial behavior and occupational health.</t>
  </si>
  <si>
    <t>2012-18286-022</t>
  </si>
  <si>
    <t>10.4337/9781848447219.00033</t>
  </si>
  <si>
    <t>Edward Elgar Publishing</t>
  </si>
  <si>
    <t>Career Development; Cross Cultural Differences; Immigration; Occupational Guidance; Unemployment; Risk Factors; Adulthood (18 yrs &amp; older); Young Adulthood (18-29 yrs); Thirties (30-39 yrs); Middle Age (40-64 yrs); Male; Female</t>
  </si>
  <si>
    <t>The purpose of this chapter is to present a range of issues relevant to career development of immigrants. It begins with concepts and issues within the field of acculturation together with a presentation of basic needs and health problems of immigrants. This is followed by the unemployment of immigrants as a risk factor for adaptation to the new situation. The subsequent section includes theories about career development and counseling of diverse cultural groups, followed by a section that reviews research findings on career development of immigrant groups in Greece and presents a comparative study about some psychological aspects of work-related behavior and the experiences of unemployed Pontic remigrants and native Greeks in comparison with employed coethnics. The final section is concerned with a model of career development, drawing upon both theory and empirical findings to address issues that may arise in plural societies as a result of immigration. (PsycInfo Database Record (c) 2020 APA, all rights reserved)</t>
  </si>
  <si>
    <t>http://search.ebscohost.com.proxy-ub.rug.nl/login.aspx?direct=true&amp;db=psyh&amp;AN=2012-18286-022&amp;site=ehost-live&amp;scope=site</t>
  </si>
  <si>
    <t>Impact of trauma exposure and acculturative stress on internalizing symptoms for recently arrived migrant‐origin youth: Results from a community‐based partnership.</t>
  </si>
  <si>
    <t>Thibeault, M. Alexander; Mendez, Julia L.; Nelson‐Gray, Rosemery O.; Stein, Gabriela L.</t>
  </si>
  <si>
    <t>2017-36622-001</t>
  </si>
  <si>
    <t>10.1002/jcop.21905</t>
  </si>
  <si>
    <t>Acculturation; Immigration; Internalization; Symptoms; Trauma; Elementary School Students; High School Students; Junior High School Students; Public School Education; Internalizing Symptoms; Childhood (birth-12 yrs); School Age (6-12 yrs); Adolescence (13-17 yrs); Male; Female</t>
  </si>
  <si>
    <t>Migrant youth face cultural challenges upon initial adjustment into the United States. Although there is considerable empirical evidence that trauma impacts interpersonal relations, there is a dearth of research examining the association between adverse events and the initial social and cultural exchange experience, and whether this is associated with psychological adjustment. This study examined self‐report data for 87 newly arrived migrant‐origin students in Grades 5–10 from Latin American, Caribbean, Asian, and African backgrounds attending a public alternative school in the Southeastern United States. Data were collected as part of a community‐based partnership. The relation between cumulative trauma exposure and internalizing symptoms was fully mediated by acculturative stress (p &lt; .05), suggesting prior trauma exposure negatively affected these students’ capacity to navigate a new cultural milieu, which in turn is directly associated with internalizing symptoms. Behavioral health care practitioners can use screening procedures early in the academic year to detect which migrant students may be experiencing difficult cultural transitions. (PsycINFO Database Record (c) 2019 APA, all rights reserved)</t>
  </si>
  <si>
    <t>http://search.ebscohost.com.proxy-ub.rug.nl/login.aspx?direct=true&amp;db=psyh&amp;AN=2017-36622-001&amp;site=ehost-live&amp;scope=site</t>
  </si>
  <si>
    <t>Importance of social connectedness as a moderator in Korean immigrants' subjective well-being.</t>
  </si>
  <si>
    <t>Yoon, Eunju; Lee, Richard M.</t>
  </si>
  <si>
    <t>2010-13668-002</t>
  </si>
  <si>
    <t>10.1037/a0019964</t>
  </si>
  <si>
    <t>Communities; Immigration; Korean Cultural Groups; Social Groups; Well Being; Adulthood (18 yrs &amp; older); Young Adulthood (18-29 yrs); Thirties (30-39 yrs); Middle Age (40-64 yrs); Aged (65 yrs &amp; older); Male; Female</t>
  </si>
  <si>
    <t>Subjective well-being theories of goal approach and value-as-a-moderator were applied to examine the role of importance of social connectedness on the relationship between social connectedness and subjective well-being in a community sample of 204 Korean immigrants. It was hypothesized that social connectedness in ethnic and mainstream society is a stronger predictor of well-being to immigrants who highly value/desire it than to those who do not. The results from hierarchical multiple regression analyses provided partial support for the hypotheses. For immigrants who highly valued connectedness in the ethnic community, positive affect increased with greater connectedness in the ethnic community, whereas, for immigrants who did not value it, connectedness in the ethnic community was not associated with positive affect. Implications for theory, research, and practice were discussed. (PsycINFO Database Record (c) 2016 APA, all rights reserved)</t>
  </si>
  <si>
    <t>http://search.ebscohost.com.proxy-ub.rug.nl/login.aspx?direct=true&amp;db=psyh&amp;AN=2010-13668-002&amp;site=ehost-live&amp;scope=site</t>
  </si>
  <si>
    <t>Importation, SES-selective acculturation, and the weaker SES-health gradients of Mexican immigrants in the United States.</t>
  </si>
  <si>
    <t>Riosmena, Fernando; Dennis, Jeff A.</t>
  </si>
  <si>
    <t>The Social Science Journal</t>
  </si>
  <si>
    <t>2012-27507-011</t>
  </si>
  <si>
    <t>10.1016/j.soscij.2012.01.004</t>
  </si>
  <si>
    <t>Acculturation; Health; Immigration; Mexican Americans; Socioeconomic Status; Obesity; Tobacco Smoking; Adulthood (18 yrs &amp; older); Young Adulthood (18-29 yrs); Thirties (30-39 yrs); Middle Age (40-64 yrs); Male</t>
  </si>
  <si>
    <t>Previous studies find U.S. immigrants have weaker socioeconomic gradients in health relative to non-Hispanic Whites and their U.S.-born co-ethnics. Several explanations have been advanced but few have been tested empirically. We use data from the Mexican Family Life Survey and the U.S. National Health Interview Survey, including longitudinal data in the former measuring socioeconomic status (SES) and health previous to emigration, to test if (1) immigrants 'import' their gradients from the sending country, or if (2) they may be changing as a result of SES-graded acculturation among Mexican migrant men in two health indicators: obesity and current smoking. We find evidence consistent with the first hypothesis: the gradients of migrants measured prior to coming to the U.S. are not statistically different from those of nonmigrants, as the gradients of each are relatively weak. Although the gradients for obesity and smoking appear to weaken with time spent in the U.S., the differences are not significant, suggesting little support for the selective acculturation hypothesis. (PsycINFO Database Record (c) 2017 APA, all rights reserved)</t>
  </si>
  <si>
    <t>http://search.ebscohost.com.proxy-ub.rug.nl/login.aspx?direct=true&amp;db=psyh&amp;AN=2012-27507-011&amp;site=ehost-live&amp;scope=site</t>
  </si>
  <si>
    <t>In the web we connect: Uses of social media among the South Asian diaspora in the U.S.</t>
  </si>
  <si>
    <t>Hossain, Mohammad Delwar</t>
  </si>
  <si>
    <t>2015-99171-033</t>
  </si>
  <si>
    <t>Cross Cultural Differences; South Asian Cultural Groups; Social Media; Communities; Language; Social Capital</t>
  </si>
  <si>
    <t>Social media usage is a paradigm shift in mass communication history, and members of the diasporic communities use social media for building and maintaining relationships. Social media have taken an important step by allowing the users to communicate in their native languages online. Because of this new step, communication through social media has become easier for the diasporic people who lack language and communication skills in their host countries. The diasporic people can communicate with the members of the same diasporic community in the host society and also with friends and family back home by using their native languages. Diasporic people have various motivations for using social media including gratifications. This dissertation examines patterns of use of social media among the South Asian diaspora living in the U.S. In doing so, the study uses a broader framework of bridging and bonding social capital to examine how South Asian people in the U.S. maintain relationships with friends both back home and in their host society via social media. Moreover, the influence of language for socio-cultural adjustment of the South Asian immigrant people was also explored in this study. An online survey following a snowballing technique was conducted among 535 South Asian people in the U.S. The results found that bonding relationships are related to native language use in social media, information sharing about back home and frequencies of social media use. Bridging relationships are related to relationship maintenance with friends in the U.S. and frequencies of social media use. The results of this study show the English language preference is not related to cultural and psychological behaviors in social media. However, English language preference is related to home country media related behaviors. (PsycINFO Database Record (c) 2016 APA, all rights reserved)</t>
  </si>
  <si>
    <t>http://search.ebscohost.com.proxy-ub.rug.nl/login.aspx?direct=true&amp;db=psyh&amp;AN=2015-99171-033&amp;site=ehost-live&amp;scope=site</t>
  </si>
  <si>
    <t>Individual and Cultural Gender Roles: A Comparison of Anglo-Australians and Chinese in Australia.</t>
  </si>
  <si>
    <t>Leung, Cynthia; Moore, Susan</t>
  </si>
  <si>
    <t>Current Research in Social Psychology</t>
  </si>
  <si>
    <t>2003-08705-001</t>
  </si>
  <si>
    <t>University of Iowa</t>
  </si>
  <si>
    <t>Cross Cultural Differences; Sex Role Attitudes; Sex Roles; Stereotyped Attitudes; Chinese Cultural Groups; Whites; Adolescence (13-17 yrs); Adulthood (18 yrs &amp; older); Young Adulthood (18-29 yrs); Thirties (30-39 yrs); Middle Age (40-64 yrs); Male; Female</t>
  </si>
  <si>
    <t>Posted August 6, 2003. Using a combined student and community sample, the present study examined whether there were cultural differences in gender role stereotypes between Anglo-Australians and Chinese background immigrants and sojourners in Australia. In addition, cultural differences in the sex-based differentiation of gender roles were examined, along with an assessment of the possible mediating role of acculturation. Five-hundred and ninety participants (418 Anglo-Australians, 172 of Chinese background) from academic institutions and community groups in Melbourne, Australia were administered the Bem Sex Role Inventory (BSRI), an individual-level measure of gender roles. Factor analyses of the Bem items showed similar factor structures for the two cultural groups, despite differences on their country-level indices of masculinity (Hofstede, 1998). Further, Hofstede's proposal that sex differences in gender roles would be more pronounced in 'masculine' societies was not supported, however both genders identified more strongly with masculine values/traits if they were Anglo-Australian in background, and with feminine values/traits if they were of Chinese origin. The possible role of acculturation in mediating these identifications was not established. (PsycINFO Database Record (c) 2016 APA, all rights reserved)</t>
  </si>
  <si>
    <t>http://search.ebscohost.com.proxy-ub.rug.nl/login.aspx?direct=true&amp;db=psyh&amp;AN=2003-08705-001&amp;site=ehost-live&amp;scope=site</t>
  </si>
  <si>
    <t>Individualism–collectivism among Americans, Turks and Turkish immigrants to the U.S.</t>
  </si>
  <si>
    <t>Ayçiçegi-Dinn, Ayse; Caldwell-Harris, Catherine L.</t>
  </si>
  <si>
    <t>2011-00456-002</t>
  </si>
  <si>
    <t>10.1016/j.ijintrel.2010.11.006</t>
  </si>
  <si>
    <t>Collectivism; Immigration; Individualism; Adulthood (18 yrs &amp; older); Young Adulthood (18-29 yrs); Thirties (30-39 yrs); Middle Age (40-64 yrs); Aged (65 yrs &amp; older); Male; Female</t>
  </si>
  <si>
    <t>Whether immigrants to the U.S. from collectivist cultures will adopt American individualist values is an important question at the intersection of theories on acculturation and individualism/collectivism. According to the assimilation hypothesis, Turkish immigrants to the U.S. should become more individualistic with increasing length of stay. Alternatively, the immigrant interdependence hypothesis proposes that the exigencies of immigration require retaining or increasing collectivist values and behaviors, especially the willingness to rely on others. Measures of individualism and collectivism were obtained from Turkish immigrants to the U.S., Turks residing in Istanbul, and residents of Boston. Bostonians and Istanbul residents differed primarily on vertical collectivism, which is the tendency to subordinate ones own goals to those of in-group authority figures. Immigrants’ values did not change with increasing length of stay in the U.S., refuting the assimilation hypothesis. When immigrants were compared to non-immigrants, immigrants endorsed stronger horizontal and vertical collectivism and more desire to both give and receive, consistent with the immigrant interdependence hypothesis. However, this hypothesis was not uniformly supported. Compared to non-immigrants, immigrants reported more self-reliance with competition, and more internal locus of control, indicating a sense of agency and responsibility. Findings are consistent with the view that immigrants adjust in complex ways to their new society, and may have different temperaments than non-immigrants. (PsycINFO Database Record (c) 2016 APA, all rights reserved)</t>
  </si>
  <si>
    <t>http://search.ebscohost.com.proxy-ub.rug.nl/login.aspx?direct=true&amp;db=psyh&amp;AN=2011-00456-002&amp;site=ehost-live&amp;scope=site</t>
  </si>
  <si>
    <t>Individuation, acculturation, and quality of life in Iranian families living in the United States.</t>
  </si>
  <si>
    <t>Nourshahi, Masoumeh</t>
  </si>
  <si>
    <t>2020-51430-021</t>
  </si>
  <si>
    <t>Acculturation; Immigration; Quality of Life; Scoring (Testing); Separation Individuation; Family; Inventories; Number Systems</t>
  </si>
  <si>
    <t>This study examined the impact of individuation level and acculturation degree on different aspects of quality of life (QoL) in two generations of Iran/ Iranian Americans living in the United States (US). This study tested two hypotheses using a non-experimental design. First, both generations of Iranian immigrants with high individuation level experience high level of QoL. Second, Iranian immigrants who have high acculturation degree have high level of QoL. A 2 X 2 factorial ANOVA and a one-way ANOVA were utilized respectively. Results demonstrated the following associations between Low Level of Individuation from Father (IF) and High Level of Physical QoL, High level of Individuation from Mother (IM) and High level of Psychological QoL, High Level of IM and High Level of Environmental QoL, High Acculturation Degree (AD) and High level of Overall QoL, High AD and High Physical QoL, High AD and High Psychological QoL, and High AD and High Environmental QoL only in First- Generations. The results also demonstrated that there are positive relationships between AD and Overall, Physical, Psychological, and Environmental QoL only in First- Generations. There was also a positive relationship between IF and Physical QoL, IM and Psychological QoL, IM and Environmental QoL, AD and Environmental QoL, and IF and Environmental QoL. It was found individuation level and acculturation degree impact different aspects of QoL in two generations of Iranians living in the US significantly. Limitations included the scoring system, content, and number of questions of Psychological Separation Inventory. The findings of this study show the importance of considering individuation level and acculturation degree of Iranian Americans clients who seek professional help to improve their quality of live. Further studies may help professionals understand the reasons of the found differences between the first- and second- generations. (PsycInfo Database Record (c) 2020 APA, all rights reserved)</t>
  </si>
  <si>
    <t>http://search.ebscohost.com.proxy-ub.rug.nl/login.aspx?direct=true&amp;db=psyh&amp;AN=2020-51430-021&amp;site=ehost-live&amp;scope=site</t>
  </si>
  <si>
    <t>Inequalities by immigrant status in depressive symptoms in Europe: The role of integration policy regimes.</t>
  </si>
  <si>
    <t>Malmusi, Davide; Palència, Laia; Ikram, Umar Z.; Kunst, Anton E.; Borrell, Carme</t>
  </si>
  <si>
    <t>2017-15384-001</t>
  </si>
  <si>
    <t>Immigration; Major Depression; Policy Making; Symptoms; Social Integration; Adolescence (13-17 yrs); Adulthood (18 yrs &amp; older); Young Adulthood (18-29 yrs); Thirties (30-39 yrs); Middle Age (40-64 yrs); Aged (65 yrs &amp; older); Male; Female</t>
  </si>
  <si>
    <t>Purpose: We aimed to study whether country integration policy models were related to inequalities by immigrant status in depressive symptoms in Europe. Methods: This is a cross-sectional study using data from 17 countries in the sixth wave of the European Social Survey (2012), comparing subjects born either in the country of residence (non-immigrants, N = 28,333) or in a country not classified as 'advanced economy' by the IMF (immigrants, N = 2041). Depressive symptoms were assessed with the eight-item version of the Center for Epidemiologic Studies Depression scale. Countries were grouped into three integration policy regimes (inclusive, assimilationist, and exclusionist). Linear regressions were fitted adjusting first by age, sex, and education level, then sequentially by citizenship, perceived discrimination, and socio-economic variables. Results: In all integration regimes, immigrants report significantly more depressive symptoms than non-immigrants. The gap is the largest in exclusionist countries (immigrants score 1.16, 95% CI 0.65–1.68, points higher than non-immigrants in the depression scale), followed by assimilationist countries (0.85 and 0.57–1.13) and inclusive countries (0.60 and 0.36–0.84). Financial strain explains all the associations in inclusive countries, most of it in assimilationist countries, but only a small part in exclusionist countries. Conclusions: Across most European countries, immigrants seem to experience more depressive symptoms than the population born in the country, mostly reflecting their poorer socio-economic situation. Inequalities are larger in countries with more restrictive policies. Despite some limitations, this study adds new evidence to suggest that immigrants’ health is shaped by integration policies in their host country. (PsycINFO Database Record (c) 2019 APA, all rights reserved)</t>
  </si>
  <si>
    <t>http://search.ebscohost.com.proxy-ub.rug.nl/login.aspx?direct=true&amp;db=psyh&amp;AN=2017-15384-001&amp;site=ehost-live&amp;scope=site</t>
  </si>
  <si>
    <t>Influence of acculturation strategies on the judgment of a violent act committed by a North African woman.</t>
  </si>
  <si>
    <t>Dougez, Chloé; Taillandier-Schmitt, Anne; Combalbert, Nicolas</t>
  </si>
  <si>
    <t>2018-18187-001</t>
  </si>
  <si>
    <t>10.5334/irsp.106</t>
  </si>
  <si>
    <t>Acculturation; African Cultural Groups; Judgment; Racial and Ethnic Attitudes; Violence; Human Females; Perpetrators; Personality Traits; Social Dominance; Adolescence (13-17 yrs); Adulthood (18 yrs &amp; older); Young Adulthood (18-29 yrs); Thirties (30-39 yrs); Middle Age (40-64 yrs); Female</t>
  </si>
  <si>
    <t>The aim of this research was to examine how judgment of an aggressive act committed by a North African immigrant woman was influenced by the perpetrator’s acculturation strategies and the participants’ level of social dominance orientation (SDO). Two hundred seven students read a scenario describing a physical assault committed by a North African woman. She was described as having one of four acculturation profiles (assimilation, integration, separation, and marginalization). The consequences of the assault were manipulated (low impact vs. high impact). Participants judged both the act and its perpetrator on different dimensions. When the aggressor had not adopted French culture and/or had maintained her original culture, the offense was explained by internal causes and was judged more severely, and the offender was judged more negatively and was perceived as having more masculine characteristics than in the other conditions. These results were particularly true for participants with a high level of SDO. SDO level also affected how participants rated the feminine characteristics of the offender. The acculturation strategy adopted by the aggressor as a factor not directly related to the act and SDO level played a crucial role in the way participants judged a North African woman carrying out a physical assault. The implications and issues of this study are discussed. (PsycInfo Database Record (c) 2020 APA, all rights reserved)</t>
  </si>
  <si>
    <t>http://search.ebscohost.com.proxy-ub.rug.nl/login.aspx?direct=true&amp;db=psyh&amp;AN=2018-18187-001&amp;site=ehost-live&amp;scope=site</t>
  </si>
  <si>
    <t>Influence of American acculturation on cigarette smoking behaviors among Asian American subpopulations in California.</t>
  </si>
  <si>
    <t>An, Ning; Cochran, Susan D.; Mays, Vickie M.; McCarthy, William J.</t>
  </si>
  <si>
    <t>2008-05212-003</t>
  </si>
  <si>
    <t>10.1080/14622200801979126</t>
  </si>
  <si>
    <t>Acculturation; Asians; Epidemiology; Tobacco Smoking; Human Sex Differences; Racial and Ethnic Differences; Adulthood (18 yrs &amp; older); Young Adulthood (18-29 yrs); Thirties (30-39 yrs); Middle Age (40-64 yrs); Aged (65 yrs &amp; older); Very Old (85 yrs &amp; older); Male; Female</t>
  </si>
  <si>
    <t>Using combined data from the population-based 2001 and 2003 California Health Interview Surveys, we examined ethnic and gender-specific smoking behaviors and the effect of three acculturation indicators on cigarette smoking behavior and quitting status among 8,192 Chinese, Filipino, South Asian, Japanese, Korean, and Vietnamese American men and women. After adjustment for potential confounders, current smoking prevalence was higher and the quit rate was lower for Korean, Filipino, and Vietnamese American men compared with Chinese American men. Women's current smoking prevalence was lower than men's in all six Asian American subgroups. South Asian and Korean American women reported lower quit rates than women from other ethnic subgroups. Asian American men who reported using only English at home had lower current smoking prevalence and higher quit rates, except for Filipino and South Asian American men. Asian American women who reported using only English at home had higher current smoking prevalence except for Japanese women. Being a second or later generation immigrant was associated with lower smoking prevalence among all Asian American subgroups of men. Less educated men and women had higher smoking prevalence and lower quit rates. In conclusion, both current smoking prevalence and quit rates vary distinctively across gender and ethnic subgroups among Asian Americans in California. Acculturation appears to increase the risk of cigarette smoking for Asian American women. Future tobacco-control programs should target at high-risk Asian American subgroups, defined by ethnicity, acculturation status, and gender. (PsycINFO Database Record (c) 2016 APA, all rights reserved)</t>
  </si>
  <si>
    <t>http://search.ebscohost.com.proxy-ub.rug.nl/login.aspx?direct=true&amp;db=psyh&amp;AN=2008-05212-003&amp;site=ehost-live&amp;scope=site</t>
  </si>
  <si>
    <t>Influence of coping with prostate cancer threat on frequency of digital rectal examinations.</t>
  </si>
  <si>
    <t>Kudadjie-Gyamfi, Elizabeth; Consedine, Nathan S.; Ungar, Tracey; Magai, Carol</t>
  </si>
  <si>
    <t>American Journal of Health Behavior</t>
  </si>
  <si>
    <t>2008-03312-008</t>
  </si>
  <si>
    <t>10.5993/AJHB.32.2.8</t>
  </si>
  <si>
    <t>Coping Behavior; Neoplasms; Racial and Ethnic Groups; Threat; Adulthood (18 yrs &amp; older); Male; Female</t>
  </si>
  <si>
    <t>Objectives: To determine the role of personality variables in coping with cancer threat in the receipt of digital rectal examinations among men from 7 ethnic subpopulations composing 3 major ethnic groups. Methods: Three hundred eight men were assessed on how often they obtained digital rectal exams and their likelihood of coping with a hypothetical cancer diagnosis. Results: There were ethnic disparities in screening frequency that were not accounted for by demographic/background variables. Coping styles that reflect problem solving, use of social support, and avoidance provided unique and additional variance in understanding these disparities. Conclusions: Cancer researchers and educators must account for heterogeneity within typical major ethnic groups, as well as consider the role of personality variables, as they differentially predict outcomes in ethnic subpopulations. (PsycINFO Database Record (c) 2016 APA, all rights reserved)</t>
  </si>
  <si>
    <t>http://search.ebscohost.com.proxy-ub.rug.nl/login.aspx?direct=true&amp;db=psyh&amp;AN=2008-03312-008&amp;site=ehost-live&amp;scope=site</t>
  </si>
  <si>
    <t>Influence of race, acculturation, and socioeconomic status on tendency toward overweight in Asian-American and Mexican-American early adolescent females.</t>
  </si>
  <si>
    <t>Schaefer, Sara E.; Salazar, Melissa; Bruhn, Christine; Saviano, Dennis; Boushey, Carol; Van Loan, Marta D.</t>
  </si>
  <si>
    <t>2009-06700-005</t>
  </si>
  <si>
    <t>10.1007/s10903-008-9150-6</t>
  </si>
  <si>
    <t>Acculturation; Adolescent Attitudes; Overweight; Socioeconomic Status; Susceptibility (Disorders); Asians; Mexican Americans; Racism; Childhood (birth-12 yrs); School Age (6-12 yrs); Adolescence (13-17 yrs); Female</t>
  </si>
  <si>
    <t>Background: Health disparities in chronic disease prevalence exist in the United States among racial/ethnic groups. This study explores relationships between physical, socioeconomic, and cultural characteristics of a multi-ethnic sample of early adolescent females which may assist health educators in designing programs targeting these groups. Methods: Mexican-American and Asian-American sixth grade females (n = 144) were enrolled in Adequate Calcium Today. Physical measurements included weight, height, and BMI. Dual energy X-ray absorptiometry determined percent body fat (%BF). Socioeconomic status was determined by enrollment in free or reduced meal program (FRMP). An adapted Acculturation Rating Scale for Mexican-Americans-II (ARSMA-II) measured acculturation. Results: Mexican-Americans had greater height, BMI, %BF, and a greater tendency toward overweight (P &lt; 0.01) than Asian-American. Asian-Americans were more acculturated than MA (P &lt; 0.005), attributed to a lower ethnic orientation scale score. Within Asian-Americans, %BF was higher among FRMP participants than non-participants (P &lt; 0.05). Discussion: Income and acculturation may affect tendency toward chronic disease. (PsycINFO Database Record (c) 2016 APA, all rights reserved)</t>
  </si>
  <si>
    <t>http://search.ebscohost.com.proxy-ub.rug.nl/login.aspx?direct=true&amp;db=psyh&amp;AN=2009-06700-005&amp;site=ehost-live&amp;scope=site</t>
  </si>
  <si>
    <t>Inhabiting the other's world: Language and cultural immersion for US-based teachers in the Dominican Republic.</t>
  </si>
  <si>
    <t>Nero, Shondel</t>
  </si>
  <si>
    <t>Language, Culture and Curriculum</t>
  </si>
  <si>
    <t>2010-11721-001</t>
  </si>
  <si>
    <t>10.1080/07908310903203066</t>
  </si>
  <si>
    <t>Foreign Language Education; Foreign Language Learning; Inservice Teacher Education; Preservice Teachers; Sociocultural Factors; Students; Adulthood (18 yrs &amp; older); Young Adulthood (18-29 yrs); Thirties (30-39 yrs); Middle Age (40-64 yrs); Male; Female</t>
  </si>
  <si>
    <t>This paper discusses the conception, goals, highlights, and outcomes of a four-week study-abroad seminar in the Dominican Republic (DR) for pre- and in-service teachers of English language learners from the New York metropolitan area. The seminar was designed to have teachers experience first-hand the phases and challenges of second language learning, and enhance understanding of their immigrant students’ culture with a view to transform such an experience into culturally responsive pedagogy. The 17 seminar participants all lived with host families while engaging in intensive Spanish language study at a university in the DR and simultaneously taking a graduate course on second language acquisition. Quantitative and qualitative analyses of data sources, including language questionnaires, an intercultural development inventory, culture portfolios, and post-seminar evaluations and interviews showed that participants developed empathy for immigrant students’ linguistic struggles, developed a better understanding of the language-learning process, and came to appreciate the complexity of culture and cultural adaptation. The study also underscored the need for teacher education curriculum to be more culturally responsive to the rapidly increasing linguistic and cultural diversity in the student population today. (PsycInfo Database Record (c) 2020 APA, all rights reserved)</t>
  </si>
  <si>
    <t>http://search.ebscohost.com.proxy-ub.rug.nl/login.aspx?direct=true&amp;db=psyh&amp;AN=2010-11721-001&amp;site=ehost-live&amp;scope=site</t>
  </si>
  <si>
    <t>Initial mainstream cultural orientations predict early social participation in the mainstream cultural group.</t>
  </si>
  <si>
    <t>Doucerain, Marina M.; Deschênes, Sonya S.; Gouin, Jean-Philippe; Amiot, Catherine E.; Ryder, Andrew G.</t>
  </si>
  <si>
    <t>Personality and Social Psychology Bulletin</t>
  </si>
  <si>
    <t>2017-05525-009</t>
  </si>
  <si>
    <t>10.1177/0146167216679642</t>
  </si>
  <si>
    <t>Acculturation; Immigration; Participation; Social Acceptance; Social Adjustment; Intergroup Dynamics; Adulthood (18 yrs &amp; older); Male; Female</t>
  </si>
  <si>
    <t>This work adopts a perspective that construes acculturation as a dynamic intergroup process, and social contact with members of the new community as a key mechanism underlying cultural adaptation. We argue that migrants’ initial self-reported mainstream cultural orientation constitutes an important antecedent of early social participation in the new community. Results from two longitudinal studies of newly arrived international students (N = 98 and N = 60) show that more positive initial mainstream cultural orientations prospectively predict higher social participation, specifically in the mainstream group, over the following months. This relation held after controlling for important alternative predictors, namely, extraversion/shyness, mainstream language proficiency, and respiratory sinus arrhythmia, a physiological index of social engagement capacity. These studies focus on the very initial stages of the temporal dynamics of acculturation, contribute to bridging research on acculturation and on intergroup relations, and establish a link between cultural orientations, a subjective attitudinal construct, and concrete social engagement behaviors. (PsycINFO Database Record (c) 2018 APA, all rights reserved)</t>
  </si>
  <si>
    <t>http://search.ebscohost.com.proxy-ub.rug.nl/login.aspx?direct=true&amp;db=psyh&amp;AN=2017-05525-009&amp;site=ehost-live&amp;scope=site</t>
  </si>
  <si>
    <t>Insurance, Acculturation, and Health Service Utilization Among Korean-Americans.</t>
  </si>
  <si>
    <t>Shin, Hosung; Song, Howin; Kim, Jinsook; Probst, Janice C.</t>
  </si>
  <si>
    <t>2005-04590-001</t>
  </si>
  <si>
    <t>10.1007/s10903-005-2638-4</t>
  </si>
  <si>
    <t>Acculturation; Health Care Utilization; Health Insurance; Korean Cultural Groups; Older Adulthood; Aging; Health Service Needs; Adulthood (18 yrs &amp; older); Male; Female</t>
  </si>
  <si>
    <t>This study describes the pattern and predictors of ambulatory care utilization among Korean Americans (KAs) living in Los Angeles. Data were gathered via a mail survey. Analysis employed a two-part model: logit model for factors affecting any health care use and truncated negative binomial model for frequency of use given one visit. Use of ambulatory care among KAs was low (2.80 visits during prior 12 months), compared to their counterparts in South Korea and the U.S. population. Variables associated with higher utilization included old age, health needs, and health insurance. Income had a positive effect on health care utilization decisions among the uninsured. Acculturation appeared to be neither a strong nor consistent predictor of ambulatory care utilization among KAs. Of particular concern is the finding that KAs suffer from inadequate access to care due to lack of employment-based health insurance. (PsycInfo Database Record (c) 2020 APA, all rights reserved)</t>
  </si>
  <si>
    <t>http://search.ebscohost.com.proxy-ub.rug.nl/login.aspx?direct=true&amp;db=psyh&amp;AN=2005-04590-001&amp;site=ehost-live&amp;scope=site</t>
  </si>
  <si>
    <t>Integration and language learning of newly arrived migrants using mobile technology.</t>
  </si>
  <si>
    <t>Bradley, Linda; Lindström, Nataliya Berbyuk; Hashemi, Sylvana Sofkova</t>
  </si>
  <si>
    <t>Journal of Interactive Media in Education</t>
  </si>
  <si>
    <t>2017-19890-001</t>
  </si>
  <si>
    <t>10.5334/jime.434</t>
  </si>
  <si>
    <t>Computer Assisted Instruction; Foreign Language Learning; Pronunciation; Refugees; Mobile Phones; Acculturation; Computer Software; Mobile Learning; Adulthood (18 yrs &amp; older); Young Adulthood (18-29 yrs); Thirties (30-39 yrs); Middle Age (40-64 yrs); Male; Female</t>
  </si>
  <si>
    <t>The purpose of this study is to investigate the mobile activities newly arrived migrants are engaged in when learning the Swedish language and about Swedish culture and society. Further, the study also explores the use of a mobile application (app) provided to the newly arrived migrants to use for pronunciation practice. The study involved 38 newly arrived Arabic speaking migrants participating in an introduction program of the Swedish language and Swedish culture provided by the Swedish government. The participants were divided into two groups: a control group who received training according to the traditional introduction programme and an experimental group who used a mobile app for pronunciation training as a complement to the programme. We applied a combination of qualitative and quantitative methods for data collection and analysis. The participants were interviewed about their use of mobile phones as well as recorded in a number of activities inside and outside the classroom to compare their language evolvement. In addition, surveys, logging of weekly mobile activities and observations were performed. The results show that the participants used a wide range of different mobile tools, both inside and outside the classroom. However, they used the mobiles mostly for communication with their family and friends rather than for communication with Swedes and learning Swedish. Further, compared to the control group, the experimental group showed an improved speech tempo and self-confidence in speaking. The study thus indicates that focused linguistic training with a pronunciation app is useful for developing spoken language skills, which can lead to improved integration. The participants expressed need and interest in having more mobile apps for both language and culture training. (PsycINFO Database Record (c) 2019 APA, all rights reserved)</t>
  </si>
  <si>
    <t>http://search.ebscohost.com.proxy-ub.rug.nl/login.aspx?direct=true&amp;db=psyh&amp;AN=2017-19890-001&amp;site=ehost-live&amp;scope=site</t>
  </si>
  <si>
    <t>Integration into the social democratic welfare state.</t>
  </si>
  <si>
    <t>Hjerm, Mikael</t>
  </si>
  <si>
    <t>2005-13231-001</t>
  </si>
  <si>
    <t>10.1007/s11205-004-7981-7</t>
  </si>
  <si>
    <t>Democracy; Immigration; Social Integration; Socialism; Welfare Services (Government); Adulthood (18 yrs &amp; older); Young Adulthood (18-29 yrs); Thirties (30-39 yrs); Middle Age (40-64 yrs); Aged (65 yrs &amp; older); Male; Female</t>
  </si>
  <si>
    <t>This article examines the assumption that the social democratic welfare state is better than others in integrating immigrants into society, or at least that the comprehensive welfare state should compensate for the problems of labour market entry. A number of key indicators from The Living Conditions Survey are used to show that this assumption is inherently wrong. Immigrants do not have the same possibilities to enter the labour market, which is shown to have severe affects on other important areas of social and political citizenship. It stands clear that the social democratic welfare state, built and expanded on grounds of homogeneity, is insufficient to deal with changing circumstances in a plural society. (PsycINFO Database Record (c) 2016 APA, all rights reserved)</t>
  </si>
  <si>
    <t>http://search.ebscohost.com.proxy-ub.rug.nl/login.aspx?direct=true&amp;db=psyh&amp;AN=2005-13231-001&amp;site=ehost-live&amp;scope=site</t>
  </si>
  <si>
    <t>Integration of refugees and support for the ethos of conflict.</t>
  </si>
  <si>
    <t>Hall, Jonathan</t>
  </si>
  <si>
    <t>Journal of Conflict Resolution</t>
  </si>
  <si>
    <t>2018-45230-008</t>
  </si>
  <si>
    <t>10.1177/0022002717721393</t>
  </si>
  <si>
    <t>Communities; Conflict; Refugees; Adulthood (18 yrs &amp; older); Male; Female</t>
  </si>
  <si>
    <t>Following forced expulsion and campaigns of ethnic cleansing, substantial portions of national communities affected by conflict no longer live within the boundaries of the state. Nevertheless, existing wartime and postwar public opinion research is largely confined to countries directly affected by conflict. As a result, current research may overlook important war-affected populations and processes shaping their opinions. I address this problem by examining the question: does incorporation in settlement countries reduce support for conflict ideology? Examining this question requires new microdata. I examine the results of a large-scale survey of ex-Yugoslavs in Sweden. The findings suggest that incorporation undermines support for conflict ideology by increasing the socioeconomic security and social identity complexity of migrants. This has important implications for multiculturalism policies in the context of the current global migration crisis. (PsycINFO Database Record (c) 2018 APA, all rights reserved)</t>
  </si>
  <si>
    <t>http://search.ebscohost.com.proxy-ub.rug.nl/login.aspx?direct=true&amp;db=psyh&amp;AN=2018-45230-008&amp;site=ehost-live&amp;scope=site</t>
  </si>
  <si>
    <t>Interaction between pre- and post-migration factors on depressive symptoms in new migrants to hong kong from Mainland China.</t>
  </si>
  <si>
    <t>Chou, Kee-Lee; Wong, Winky K. F.; Chow, Nelson W. S.</t>
  </si>
  <si>
    <t>2011-22952-009</t>
  </si>
  <si>
    <t>10.1007/s10597-010-9333-1</t>
  </si>
  <si>
    <t>Acculturation; Major Depression; Quality of Life; Stress; Symptoms; Human Migration; Immigration; Adulthood (18 yrs &amp; older); Young Adulthood (18-29 yrs); Thirties (30-39 yrs); Middle Age (40-64 yrs); Aged (65 yrs &amp; older); Male; Female</t>
  </si>
  <si>
    <t>The goal of the current study is to examine the role of poor migration planning as a moderator for the effects of two post-migration factors, namely acculturation stress and quality of life, on symptoms of depression. Using a random sample of 347 Hong Kong new migrants from a 1-year longitudinal study, we used multiple regression analyses to examine both the direct and interaction effects of poorly planned migration, acculturation stress, and quality of life on depressive symptoms. Although poorly planned migration did not predict depressive symptoms at 1-year follow-up, it did exacerbate the detrimental effect of the two post-migration factors, namely high stress or low quality of life (both also measured at baseline) on depressive symptoms at this stage. Our results indicate that preventive measures must be developed for new immigrants in Hong Kong, especially for those who were not well prepared for migration. (PsycINFO Database Record (c) 2016 APA, all rights reserved)</t>
  </si>
  <si>
    <t>http://search.ebscohost.com.proxy-ub.rug.nl/login.aspx?direct=true&amp;db=psyh&amp;AN=2011-22952-009&amp;site=ehost-live&amp;scope=site</t>
  </si>
  <si>
    <t>Intercultural relations among Ukrainian immigrants living in Portugal.</t>
  </si>
  <si>
    <t>Neto, Félix</t>
  </si>
  <si>
    <t>2020-66493-015</t>
  </si>
  <si>
    <t>10.11144/Javeriana.upsy18-5.irau</t>
  </si>
  <si>
    <t>Acculturation; Immigration; Sociocultural Factors; Marginalization; Adulthood (18 yrs &amp; older); Young Adulthood (18-29 yrs); Thirties (30-39 yrs); Middle Age (40-64 yrs); Male; Female</t>
  </si>
  <si>
    <t>The purpose of this research was to test specific predictions based on three general hypotheses: the integration hypothesis, the contact hypothesis, and the multiculturalism hypothesis. The sample included 218 Ukrainian immigrants with an average of 39 years. The average length of time residing in Portugal was 10 years. As regards the integration hypothesis, psychological adaptation and intercultural adaptation were predicted by integration, while sociocultural adaptation was only predicted by marginalization. Thus, the integration hypothesis was partially supported for Ukrainian immigrants living in Portugal. The contact hypothesis tended to be supported, as intercultural contact was predicted by higher positive attitudes toward Portuguese, and assimilation. However, integration has not emerged as a significant predictor of intercultural contact. This sample displayed a relatively low level of perceived discrimination. In line with the multiculturalism hypothesis, perceived discrimination was negatively related to tolerance, attitude towards Portuguese, attitude towards other immigrants, and positively related to preference for separation and marginalization. Findings are discussed considering the existing literature. (PsycInfo Database Record (c) 2020 APA, all rights reserved)</t>
  </si>
  <si>
    <t>http://search.ebscohost.com.proxy-ub.rug.nl/login.aspx?direct=true&amp;db=psyh&amp;AN=2020-66493-015&amp;site=ehost-live&amp;scope=site</t>
  </si>
  <si>
    <t>Intercultural relations in Russia and Latvia: The relationship between contact and cultural security.</t>
  </si>
  <si>
    <t>Lebedeva, Nadezhda M.; Tatarko, Alexander N.; Berry, John W.</t>
  </si>
  <si>
    <t>2016-26336-004</t>
  </si>
  <si>
    <t>10.11621/pir.2016.0103</t>
  </si>
  <si>
    <t>Cross Cultural Differences; Multiculturalism; Sociocultural Factors; Ideology; Adulthood (18 yrs &amp; older); Male; Female</t>
  </si>
  <si>
    <t>The project Mutual Intercultural Research in Plural Societies was designed to examine three hypotheses of intercultural relations: the multiculturalism hypothesis, the integration hypothesis, and the contact hypothesis. These hypotheses were derived from the Canadian multiculturalism policy (Berry, 1984), and their validity has been assessed in a number of countries. Our goal was to evaluate these hypotheses in Russia (Moscow) and Latvia (Riga). We used sociopsychological surveys of two dominant groups (Russian Muscovites and Latvians in Riga) and two nondominant groups (migrants from the Caucasus in Moscow and the Russian minority in Riga) employing structural equation modeling. A sense of perceived security promoted tolerance toward other cultural groups in three of the samples. Perceived security was related significantly to multicultural ideology in Riga, but there was no significant relationship to multicultural ideology in the Moscow samples. A preference for the integration strategy among the migrants in Moscow as well as among the Russians in Latvia promoted their better sociocultural adaptation and had a significant impact on the life satisfaction of the Muscovites but had no impact on the Latvian sample in Riga. Our results provided some support for the effect of intercultural contact on the acceptance of others in three of the groups: the migrants in Moscow, the Russian minority in Riga, and the dominant group in Moscow. However, among the Russians in Riga, the relationship between contacts and perceived security was negative. The multiculturalism hypothesis was confirmed with the dominant group in Riga and was partly confirmed with both the dominant and the nondominant groups in Moscow and with the Russian minority in Riga. The contact hypothesis received partial support with both groups in Moscow and the Russian minority in Riga but was not confirmed with the Latvians in Riga. There was partial support for the role of the integration strategy in promoting sociocultural adaptation and well-being among the migrants in Moscow and the Muscovites. These findings require additional analysis of the sociopolitical and historical context in Latvia in order to understand the psychological outcomes of acculturation among the Russian minority there. (PsycINFO Database Record (c) 2017 APA, all rights reserved)</t>
  </si>
  <si>
    <t>http://search.ebscohost.com.proxy-ub.rug.nl/login.aspx?direct=true&amp;db=psyh&amp;AN=2016-26336-004&amp;site=ehost-live&amp;scope=site</t>
  </si>
  <si>
    <t>Intergenerational assimilation by intermarriage: Hispanic and Asian immigrants.</t>
  </si>
  <si>
    <t>Gonsoulin, Margaret; Fu, Xuanning</t>
  </si>
  <si>
    <t>Marriage &amp; Family Review</t>
  </si>
  <si>
    <t>2010-15961-002</t>
  </si>
  <si>
    <t>10.1080/01494929.2010.499320</t>
  </si>
  <si>
    <t>Acculturation; Exogamous Marriage; Immigration; Latinos/Latinas; South Asian Cultural Groups; Adulthood (18 yrs &amp; older); Male; Female</t>
  </si>
  <si>
    <t>Using multigenerational data, intermarriage rates were examined among non-White, non-European immigrants to test two competing assimilation theories: classic assimilation theory and segmented assimilation theory. Later generations of Asian and Hispanic immigrants were more likely to outmarry than their first-generation relatives, an outcome predicted by both theories. High achieving Asians were not more likely to engage in outmarriage, whereas educational achievement was positively correlated with outmarriage rates among Hispanics. Classic assimilation theory predicts outmarriage only after structural assimilation is achieved; therefore, this study provided more evidence to support segmented assimilation theory. However, low socioeconomic status Hispanics and Asians were not more likely to outmarry non-Whites, as segmented assimilation theory would suggest. (PsycINFO Database Record (c) 2016 APA, all rights reserved)</t>
  </si>
  <si>
    <t>http://search.ebscohost.com.proxy-ub.rug.nl/login.aspx?direct=true&amp;db=psyh&amp;AN=2010-15961-002&amp;site=ehost-live&amp;scope=site</t>
  </si>
  <si>
    <t>Intergenerational family relations in Luxembourg: Family values and intergenerational solidarity in Portuguese immigrant and Luxembourgish families.</t>
  </si>
  <si>
    <t>Albert, Isabelle; Ferring, Dieter; Michels, Tom</t>
  </si>
  <si>
    <t>2013-13184-007</t>
  </si>
  <si>
    <t>10.1027/1016-9040/a000125</t>
  </si>
  <si>
    <t>Family Relations; Immigration; Intergenerational Relations; Values; Family; Solidarity; Childhood (birth-12 yrs); School Age (6-12 yrs); Adolescence (13-17 yrs); Adulthood (18 yrs &amp; older); Young Adulthood (18-29 yrs); Thirties (30-39 yrs); Middle Age (40-64 yrs); Female</t>
  </si>
  <si>
    <t>According to the intergenerational solidarity model, family members who share similar values about family obligations should have a closer relationship and support each other more than families with a lower value consensus. The present study first describes similarities and differences between two family generations (mothers and daughters) with respect to their adherence to family values and, second, examines patterns of relations between intergenerational consensus on family values, affectual solidarity, and functional solidarity in a sample of 51 mother-daughter dyads comprising N = 102 participants from Luxembourgish and Portuguese immigrant families living in the Grand Duchy of Luxembourg. Results showed a small generation gap in values of hierarchical gender roles, but an acculturation gap was found in Portuguese mother-daughter dyads regarding obligations toward the family. A higher mother-daughter value consensus was related to higher affectual solidarity of daughters toward their mothers but not vice versa. Whereas affection and value consensus both predicted support provided by daughters to their mothers, affection mediated the relationship between consensual solidarity and received maternal support. With regard to mothers, only affection predicted provided support for daughters, whereas mothers’ perception of received support from their daughters was predicted by value consensus and, in the case of Luxembourgish mothers, by affection toward daughters. (PsycINFO Database Record (c) 2016 APA, all rights reserved)</t>
  </si>
  <si>
    <t>http://search.ebscohost.com.proxy-ub.rug.nl/login.aspx?direct=true&amp;db=psyh&amp;AN=2013-13184-007&amp;site=ehost-live&amp;scope=site</t>
  </si>
  <si>
    <t>Inter-group and intra-group assertiveness: Adolescents' social skills following cultural transition.</t>
  </si>
  <si>
    <t>Korem, Anat; Horenczyk, Gabriel; Tatar, Moshe</t>
  </si>
  <si>
    <t>2012-18356-006</t>
  </si>
  <si>
    <t>10.1016/j.adolescence.2011.12.002</t>
  </si>
  <si>
    <t>Assertiveness; Cross Cultural Differences; Social Skills; Immigration; Adolescence (13-17 yrs); Male; Female</t>
  </si>
  <si>
    <t>The goals of this study were to examine intra-group and inter-group assertiveness among adolescents, and to compare these two domains of assertiveness between cultural groups in Israel. Measures of intra-group and inter-group assertiveness were developed, and questionnaires were administrated to 441 immigrants from the Former Soviet Union (FSU), 242 immigrants from Ethiopia and 333 non-immigrants. Compared to non-immigrants, FSU and Ethiopian immigrants' inter-group assertiveness was lower. Girls reported higher levels of inter-group assertiveness than boys. Each of the immigrant groups rates itself as equally assertive as the non-immigrant group and more assertive than the other immigrant group. Also, a difference between inter-group and intra-group assertiveness was found among the FSU immigrants. It is argued that adolescents' assertiveness following cultural transition is associated with socio-cultural context, and the implications of this conclusion are discussed. (PsycINFO Database Record (c) 2017 APA, all rights reserved)</t>
  </si>
  <si>
    <t>http://search.ebscohost.com.proxy-ub.rug.nl/login.aspx?direct=true&amp;db=psyh&amp;AN=2012-18356-006&amp;site=ehost-live&amp;scope=site</t>
  </si>
  <si>
    <t>Intergroup relations and predictors of immigrant experience.</t>
  </si>
  <si>
    <t>Danso, Kofi; Lum, Terry</t>
  </si>
  <si>
    <t>2013-07325-004</t>
  </si>
  <si>
    <t>10.1080/15313204.2013.756733</t>
  </si>
  <si>
    <t>Acculturation; Community Involvement; Immigration; Life Experiences; Racial and Ethnic Differences; African Cultural Groups; Social Casework; Southeast Asian Cultural Groups; Latinos/Latinas; Adulthood (18 yrs &amp; older); Male; Female</t>
  </si>
  <si>
    <t>Using survey data from 1,036 participants, which included 4 immigrant groups, we examined the factors that influence immigrants’ experiences as they interact with nonimmigrant Americans. Logistic and multinomial regression results indicate that non-European immigrants were more likely to report negative experiences with Americans. The odds of reporting negative interactions were lower for African than for Hispanic immigrants. Immigrants who have lived in the United States for 10 years or longer and immigrants who have been involved in community activities were more likely to report negative interactions. Immigrants with employment, perception of lack of cultural understanding, and limited English proficiency also reported positive interaction. The study reinforces the need for social workers to facilitate intergroup relations among diverse populations. (PsycINFO Database Record (c) 2016 APA, all rights reserved)</t>
  </si>
  <si>
    <t>http://search.ebscohost.com.proxy-ub.rug.nl/login.aspx?direct=true&amp;db=psyh&amp;AN=2013-07325-004&amp;site=ehost-live&amp;scope=site</t>
  </si>
  <si>
    <t>Intermarriage among new immigrants in the USA.</t>
  </si>
  <si>
    <t>Bohra-Mishra, Pratikshya; Massey, Douglas S.</t>
  </si>
  <si>
    <t>2015-06070-005</t>
  </si>
  <si>
    <t>10.1080/01419870.2014.937726</t>
  </si>
  <si>
    <t>Acculturation; Exogamous Marriage; Immigration; Marital Relations; South Asian Cultural Groups; Adulthood (18 yrs &amp; older); Male; Female</t>
  </si>
  <si>
    <t>Using the 2003 New Immigrant Survey data, we explore marital behaviour among new immigrants in the USA. Marital assimilation with mainstream US natives was highest among European immigrants, followed by Latin Americans, Southeast Asians, East Asians, and finally South Asians. There is no single ‘Asian’ pattern of marital assimilation. While South Asians and East Asians defy the classical assimilation theory with their strong resistance to intermarriage within the mainstream despite their high degree of structural assimilation, Southeast Asians display high rates of such marital assimilation. Europeans, as predicted by classical theory, evince high rate of marital assimilation. Latin Americans and Southeast Asians lie in between the two extremes of Europeans and other Asian subgroups. While they seem to follow a path of segmented assimilation by demonstrating within-region endogamy, compared to Europeans they have only a slightly higher propensity to marry within their nationality, suggesting ongoing assimilation along classical lines. (PsycINFO Database Record (c) 2016 APA, all rights reserved)</t>
  </si>
  <si>
    <t>http://search.ebscohost.com.proxy-ub.rug.nl/login.aspx?direct=true&amp;db=psyh&amp;AN=2015-06070-005&amp;site=ehost-live&amp;scope=site</t>
  </si>
  <si>
    <t>Internal migration and health: Re-examining the healthy migrant phenomenon in China.</t>
  </si>
  <si>
    <t>Chen, Juan</t>
  </si>
  <si>
    <t>2011-08614-009</t>
  </si>
  <si>
    <t>10.1016/j.socscimed.2011.02.016</t>
  </si>
  <si>
    <t>Distress; Human Migration; Mental Health; Physical Health; Health Care Services; Health Promotion; Adulthood (18 yrs &amp; older); Male; Female</t>
  </si>
  <si>
    <t>This study re-examines the healthy migrant phenomenon in China’s internal migration process and investigates the different trajectories of place of origin on migrants’ self-rated physical health and psychological distress. Data came from a household survey (N = 1474) conducted in Beijing between May and October in 2009. Multiple regression techniques were used to model the associations between self-rated physical health, psychological distress, and migration experience, controlling for sociodemographic characteristics. The healthy migrant phenomenon was observed among migrants on self-rated physical health but not on psychological distress. Different health status trajectories existed between physical health versus mental health and between rural-to-urban migrants versus urban-to-urban migrants. The study draws particular attention to the diminishing physical health advantage and the initial high level of psychological distress among urban-to-urban migrants. The initial physical health advantage indicates that it is necessary to reach out to the migrant population and provide equal access to health services in the urban area. The high level of psychological distress suggests that efforts targeting mental health promotion and mental disorder prevention among the migrant population are an urgent need. The findings of the study underline the necessity to make fundamental changes to the restrictive hukou system and the unequal distribution of resources and opportunities in urban and rural areas. These changes will lessen the pressure on big cities and improve the living conditions and opportunities of residents in townships/small cities and the countryside. (PsycINFO Database Record (c) 2016 APA, all rights reserved)</t>
  </si>
  <si>
    <t>http://search.ebscohost.com.proxy-ub.rug.nl/login.aspx?direct=true&amp;db=psyh&amp;AN=2011-08614-009&amp;site=ehost-live&amp;scope=site</t>
  </si>
  <si>
    <t>International migration and social pain responses.</t>
  </si>
  <si>
    <t>Lu, Minjie; Hamamura, Takeshi; Chan, Yuen Pik</t>
  </si>
  <si>
    <t>2017-07778-027</t>
  </si>
  <si>
    <t>10.1016/j.paid.2016.12.040</t>
  </si>
  <si>
    <t>Human Migration; Pain Perception; Psychological Needs; Social Adjustment; Society; Adulthood (18 yrs &amp; older); Male; Female</t>
  </si>
  <si>
    <t>International migration, arguably one of the most challenging life events, is an increasingly common psychological experience in the globalizing world. One novel approach in theorizing about wide-ranging psychological implications associated with international migration is to consider its effect in thwarting basic psychological needs. The focus of the current research is on a thwarted sense of control that migrants experience in their adjustment to a host society and its association with heightening pain responses. Among foreign-born residents in Canada (Study 1) and the United States (Study 2), a negative association was found between the participants' identification with the host culture and their social pain responses. Study 2 supported the role of a diminished sense of control in mediating this association. (PsycInfo Database Record (c) 2020 APA, all rights reserved)</t>
  </si>
  <si>
    <t>http://search.ebscohost.com.proxy-ub.rug.nl/login.aspx?direct=true&amp;db=psyh&amp;AN=2017-07778-027&amp;site=ehost-live&amp;scope=site</t>
  </si>
  <si>
    <t>International student sociocultural adaptation: Gossip and place attachment contributions.</t>
  </si>
  <si>
    <t>Lee, Ji-yeon; Pistole, M. Carole</t>
  </si>
  <si>
    <t>Journal of Mental Health Counseling</t>
  </si>
  <si>
    <t>2014-42084-006</t>
  </si>
  <si>
    <t>10.17744/mehc.36.4.0402867150372t21</t>
  </si>
  <si>
    <t>American Mental Health Counselors Assn</t>
  </si>
  <si>
    <t>Emotional Adjustment; Gossip; International Students; South Asian Cultural Groups; Adulthood (18 yrs &amp; older); Young Adulthood (18-29 yrs); Thirties (30-39 yrs); Middle Age (40-64 yrs); Male; Female</t>
  </si>
  <si>
    <t>This correlational study at a Midwestern university used hierarchical regression, with a primarily Asian international student sample (N = 293), to examine gossip functions, the tendency to gossip, and place attachment as contributing uniquely to international student sociocultural adaptation. The tendency to gossip and place identity attachment were found to contribute positively to the sociocultural adaptation of international students (ISs), and the influence gossip function and place dependence attachment contributed negatively. Because the study focused on gossip as a cultural learning mechanism, the findings may be relevant to future research and mental health counseling services that facilitate immigrant and IS sociocultural adaptation. (PsycInfo Database Record (c) 2020 APA, all rights reserved)</t>
  </si>
  <si>
    <t>http://search.ebscohost.com.proxy-ub.rug.nl/login.aspx?direct=true&amp;db=psyh&amp;AN=2014-42084-006&amp;site=ehost-live&amp;scope=site</t>
  </si>
  <si>
    <t>International students' acculturation: Effects of international, conational, and local ties and need for closure.</t>
  </si>
  <si>
    <t>Kashima, Emiko S.; Loh, Evelyn</t>
  </si>
  <si>
    <t>2006-05823-004</t>
  </si>
  <si>
    <t>10.1016/j.ijintrel.2005.12.003</t>
  </si>
  <si>
    <t>Acculturation; Cognitive Processes; Cross Cultural Differences; Individual Differences; International Students; Psychological Needs; Adulthood (18 yrs &amp; older); Young Adulthood (18-29 yrs); Thirties (30-39 yrs); Male; Female</t>
  </si>
  <si>
    <t>Asian international students' acculturation to Australia was significantly influenced by their personal ties with other international (non-conational), conational, and local Australian students, and by the individual difference of need for cognitive closure (NCC). High NCC students tended to find their sojourn in the foreign country more unsettling and stressful. Nevertheless, having personal ties with locals alleviated their psychological adjustment. Students with more international ties were better adjusted in general. The study also suggested that international students' social identities may change dynamically during their acculturation. Greater social ties of all three types facilitated identification with their Australian university. Further, cognitively open and flexible low NCC students tended to hold stronger identification with their heritage culture if having more international ties. Further research should replicate these results with potential applied implications for those concerned with international education. The present results were also compared with the previous research on international immigrants. (PsycINFO Database Record (c) 2016 APA, all rights reserved)</t>
  </si>
  <si>
    <t>http://search.ebscohost.com.proxy-ub.rug.nl/login.aspx?direct=true&amp;db=psyh&amp;AN=2006-05823-004&amp;site=ehost-live&amp;scope=site</t>
  </si>
  <si>
    <t>Internet-usage patterns of immigrants in the process of intercultural adaptation.</t>
  </si>
  <si>
    <t>Chen, Wenli</t>
  </si>
  <si>
    <t>Cyberpsychology, Behavior, and Social Networking</t>
  </si>
  <si>
    <t>2010-18698-006</t>
  </si>
  <si>
    <t>10.1089/cyber.2009.0249</t>
  </si>
  <si>
    <t>Acculturation; Immigration; Internet; Adulthood (18 yrs &amp; older); Young Adulthood (18-29 yrs); Thirties (30-39 yrs); Middle Age (40-64 yrs); Aged (65 yrs &amp; older); Male; Female</t>
  </si>
  <si>
    <t>This paper investigates Internet-usage patterns of immigrants, and seeks to identify the correlation between Internet use and intercultural adaptation. The study focuses on mainland Chinese immigrants in Singapore, and was conducted via a nationwide telephone survey. The results show that immigrants tend to change their preferences on Internet use to reflect their residence in the host country. In particular, the longer an immigrant resides in the host country, the less likely they would be to surf their original country’s websites and the more likely they would be to communicate with local people via the Internet. More importantly, differences in Internet usage are found to have a significant impact on immigrants’ intercultural adaptation. In an online environment, the social communication in the host country is a critical component that can facilitate or impede immigrants’ successful adaptation to the host country, whereas ethnic social communication also plays a role at the initial stage of transition. (PsycINFO Database Record (c) 2016 APA, all rights reserved)</t>
  </si>
  <si>
    <t>http://search.ebscohost.com.proxy-ub.rug.nl/login.aspx?direct=true&amp;db=psyh&amp;AN=2010-18698-006&amp;site=ehost-live&amp;scope=site</t>
  </si>
  <si>
    <t>Intimate partner violence among Latino women: Rates and cultural correlates.</t>
  </si>
  <si>
    <t>Sabina, Chiara; Cuevas, Carlos A.; Zadnik, Elizabeth</t>
  </si>
  <si>
    <t>Journal of Family Violence</t>
  </si>
  <si>
    <t>2014-54524-001</t>
  </si>
  <si>
    <t>10.1007/s10896-014-9652-z</t>
  </si>
  <si>
    <t>Acculturation; Intimate Partner Violence; Latinos/Latinas; Human Females; Immigration; Adulthood (18 yrs &amp; older); Female</t>
  </si>
  <si>
    <t>While various forms of intimate partner violence (IPV) within the Latino community have been explored to some extent, the role of immigrant status and acculturation on IPV remains unclear. The current study investigated the lifetime rate of physical, sexual, stalking, and threat IPV, as well as the profile of abuse tactics used against victimized Latino women. Further, the influence of immigrant status, Anglo orientation, Latino orientation, and the interaction of immigrant status and acculturation variables on IPV were examined. Data came from the Sexual Assault Among Latinas (SALAS) study that gathered data from a national sample of Latino women (N = 2,000) via telephone interviews. Results showed 15.6 % of Latino women experienced IPV in their lifetime and threat IPV was the most common form of IPV. Physical, sexual, stalking and threat IPV were all used as abusive tactics in various configurations. Logistic regression analyses showed immigrants were less likely than U.S. born Latino women to experience any IPV and physical IPV. Anglo orientation was associated with increased odds of any IPV and stalking IPV while Latino orientation was associated with decreased odds of all forms of IPV. Furthermore, the protective effect of Latino orientation for stalking IPV was pronounced among immigrants. Together the results show that 1 in 6 Latino women experience IPV and that sociocultural factors such as immigrant status and acculturation are important considerations for this group, underscoring the influence of migration and cultural adaptation to family functioning. (PsycINFO Database Record (c) 2016 APA, all rights reserved)</t>
  </si>
  <si>
    <t>http://search.ebscohost.com.proxy-ub.rug.nl/login.aspx?direct=true&amp;db=psyh&amp;AN=2014-54524-001&amp;site=ehost-live&amp;scope=site</t>
  </si>
  <si>
    <t>Investigating grassroots sports’ engagement for refugees: Evidence from voluntary sports clubs in Germany.</t>
  </si>
  <si>
    <t>Nowy, Tobias; Feiler, Svenja; Breuer, Christoph</t>
  </si>
  <si>
    <t>Journal of Sport &amp; Social Issues</t>
  </si>
  <si>
    <t>2019-79612-002</t>
  </si>
  <si>
    <t>10.1177/0193723519875889</t>
  </si>
  <si>
    <t>Concepts; Refugees; Social Integration; Society; Sports; Clubs (Social Organizations); Human Migration; Organizational Structure; Statistical Analysis; Surveys; Social Inclusion; Adulthood (18 yrs &amp; older)</t>
  </si>
  <si>
    <t>Unprecedented numbers of refugees have affected European society at large, and the organized sports system, in particular. Combining the concepts of organizational capacity and institutional logics, this article examines the engagement of voluntary sports clubs (VSCs) in the process of refugee integration. Drawing on data from a representative sample of n = 5,170 German VSCs through an online survey, the results indicate that 28% of the VSCs reported engagement in the process of integrating refugees by the end of 2015; however, only 14% initiated concrete measures. The statistical analysis highlights the relevance of institutional logics. VSCs are encouraged to carefully handle the tension between business-like management and intensive voluntary work during the integrative process. Financial capacity appears less relevant; the presence of migrant club members and a more professional organizational design, however, appear beneficial. The results imply that involved stakeholders should intensify capacity building programs in the structural dimension of organizational capacity. (PsycInfo Database Record (c) 2020 APA, all rights reserved)</t>
  </si>
  <si>
    <t>http://search.ebscohost.com.proxy-ub.rug.nl/login.aspx?direct=true&amp;db=psyh&amp;AN=2019-79612-002&amp;site=ehost-live&amp;scope=site</t>
  </si>
  <si>
    <t>Iranian-American acculturation of first generation immigrants in Los Angeles and Iranian Acculturation Scale.</t>
  </si>
  <si>
    <t>Nourian, Shaghayegh Sherry</t>
  </si>
  <si>
    <t>2013-99171-065</t>
  </si>
  <si>
    <t>Acculturation; Immigration; Psychometrics; Test Reliability; Test Validity; Latinos/Latinas; Adulthood (18 yrs &amp; older); Young Adulthood (18-29 yrs); Thirties (30-39 yrs); Middle Age (40-64 yrs); Aged (65 yrs &amp; older)</t>
  </si>
  <si>
    <t>Previous research studies regarding acculturation of Iranian immigrants include adaptations and revisions of scales and inventories designed for other ethnic populations. This study was designed to investigate the acculturation of first-generation Iranian-Americans residing in Los Angeles and to test the reliability and validity for the only Iranian Acculturation Scale designed for the Iranian population specifically, first tested in Toronto, Canada, by Sima Shahim. Sixty-nine first-generation Iranian-American immigrants residing in Los Angeles between the ages of 18 and 65 completed the following measures: (1) a demographic questionnaire; (2) Iranian Acculturation Scale. Statistical analysis of the data gathered provided overall support for the reliability and validity of the Iranian Acculturation Scale (IAS), although some differences in findings between the current study and the original test study of the scale by Shahim were also apparent. Results gathered from the current study showed significant relationships between acculturation and the three factors of age, length of residence, and language use in daily life. Results gathered from the current study showed no significant relationship between acculturation and the two factors of gender and level of education. (PsycINFO Database Record (c) 2016 APA, all rights reserved)</t>
  </si>
  <si>
    <t>http://search.ebscohost.com.proxy-ub.rug.nl/login.aspx?direct=true&amp;db=psyh&amp;AN=2013-99171-065&amp;site=ehost-live&amp;scope=site</t>
  </si>
  <si>
    <t>Is acculturation always adverse to Korean immigrant health in the United States?</t>
  </si>
  <si>
    <t>Ra, Chaelin Karen; Cho, Youngtae; Hummer, Robert A.</t>
  </si>
  <si>
    <t>2013-14543-008</t>
  </si>
  <si>
    <t>10.1007/s10903-012-9723-2</t>
  </si>
  <si>
    <t>Acculturation; Educational Attainment Level; Health; Health Behavior; Immigration; Korean Cultural Groups; Adulthood (18 yrs &amp; older); Young Adulthood (18-29 yrs); Thirties (30-39 yrs); Middle Age (40-64 yrs); Aged (65 yrs &amp; older); Male; Female</t>
  </si>
  <si>
    <t>This study examined the association between individuals’ proportion of life spent in the United States and the health status and health behaviors among Korean immigrants aged 25 and above. The analysis is stratified by level of education to test whether a higher proportion of time spent in the United States is associated with poorer health among both less educated and highly educated Korean immigrants. California health interview survey data from 2005 to 2007 were used to estimate logistic regression models of health and health behaviour among Korean immigrants, stratified by educational attainment. The health and health behaviour of less educated Korean immigrants tended to be worse among those with a higher proportion of residence in the United States. However, more highly educated Korean immigrants tended to exhibit lower odds of being unhealthy and lower odds of poor health behavior with a higher proportion of life spent in the United States. Acculturation is not always associated with poorer immigrant health outcomes. A higher proportion of life spent in the United States tends to be associated with more favorable health and health behavior among highly educated Korean immigrants. (PsycINFO Database Record (c) 2016 APA, all rights reserved)</t>
  </si>
  <si>
    <t>http://search.ebscohost.com.proxy-ub.rug.nl/login.aspx?direct=true&amp;db=psyh&amp;AN=2013-14543-008&amp;site=ehost-live&amp;scope=site</t>
  </si>
  <si>
    <t>Is assimilation theory dead? The effect of assimilation on adolescent well-being.</t>
  </si>
  <si>
    <t>Greenman, Emily; Xie, Yu</t>
  </si>
  <si>
    <t>2008-02408-008</t>
  </si>
  <si>
    <t>10.1016/j.ssresearch.2007.07.003</t>
  </si>
  <si>
    <t>Academic Achievement; Acculturation; Adolescent Development; Immigration; Well Being; Asians; At Risk Populations; Theories; Latinos/Latinas; Childhood (birth-12 yrs); School Age (6-12 yrs); Adolescence (13-17 yrs); Male; Female</t>
  </si>
  <si>
    <t>The relationship between assimilation and the well-being of immigrant children has been the focus of debate in the recent sociological literature. Much of this work has questioned whether classical theories of immigrant adaptation, which assumed assimilation to be an integral part of the process of upward mobility for immigrants, are still applicable to today's immigrant children. This study reevaluates the applicability of classical assimilation theory with a comprehensive empirical assessment of the relationship between assimilation and the well-being of Hispanic and Asian immigrant adolescents. Using Add Health data, we examine the effect of different aspects of assimilation on educational achievement, psychological well-being, and at-risk behaviors. We find that the effect of assimilation varies greatly depending on the ethnic group and outcome under consideration, but that it is generally related to both greater academic achievement and more at-risk behavior. We conclude that assimilation theory is still relevant, but suggest an interpretation that emphasizes a process of decreasing differences between groups rather than either detrimental or beneficial effects of assimilation. (PsycINFO Database Record (c) 2017 APA, all rights reserved)</t>
  </si>
  <si>
    <t>http://search.ebscohost.com.proxy-ub.rug.nl/login.aspx?direct=true&amp;db=psyh&amp;AN=2008-02408-008&amp;site=ehost-live&amp;scope=site</t>
  </si>
  <si>
    <t>Is childhood migration a mental health risk? Exploring health behaviors and psychosocial resources as pathways using the cross-sectional Canadian Community Health Survey.</t>
  </si>
  <si>
    <t>Yang, Fei-Ju</t>
  </si>
  <si>
    <t>2019-50205-001</t>
  </si>
  <si>
    <t>10.1016/j.ssresearch.2019.04.016</t>
  </si>
  <si>
    <t>Distress; Health Behavior; Immigration; Psychosocial Factors; Community Health; Early Experience; Stress; Time Estimation; Health Risk Behavior; Adulthood (18 yrs &amp; older); Young Adulthood (18-29 yrs); Thirties (30-39 yrs); Middle Age (40-64 yrs); Male; Female</t>
  </si>
  <si>
    <t>Drawing on the Stress Process Model, this study investigates the effect of early migration on health behaviors and psychosocial resources. Further, I consider whether health behaviors and psychosocial processes lead to higher psychological distress for childhood immigrants in adulthood. Cross-sectional data from the Canadian Community Health Survey-Mental Health 2012 (N = 4282) reveal that compared to adult immigrants, childhood immigrants are not only four times more likely to use drugs, but also experience greater interpersonal strain. However, health behaviors such as these contribute less to psychological distress than do psychosocial resources. Additionally, longer duration of migration is found to reduce psychological distress when controlling for age at migration, thus suggesting the migrant health literature should examine age-salient life challenges at the time of migration, instead of continuing to use duration of migration as a proxy for negative acculturation. (PsycInfo Database Record (c) 2020 APA, all rights reserved)</t>
  </si>
  <si>
    <t>http://search.ebscohost.com.proxy-ub.rug.nl/login.aspx?direct=true&amp;db=psyh&amp;AN=2019-50205-001&amp;site=ehost-live&amp;scope=site</t>
  </si>
  <si>
    <t>Is integration always most adaptive? The role of cultural identity in academic achievement and in psychological adaptation of immigrant students in Germany.</t>
  </si>
  <si>
    <t>Schotte, Kristin; Stanat, Petra; Edele, Aileen</t>
  </si>
  <si>
    <t>2017-41418-001</t>
  </si>
  <si>
    <t>10.1007/s10964-017-0737-x</t>
  </si>
  <si>
    <t>Academic Achievement; School Environment; Student Attitudes; Cultural Identity; Acculturation; Immigration; Sociocultural Factors; Adolescence (13-17 yrs); Male; Female</t>
  </si>
  <si>
    <t>Immigrant adaptation research views identification with the mainstream context as particularly beneficial for sociocultural adaptation, including academic achievement, and identification with the ethnic context as particularly beneficial for psychological adaptation. A strong identification with both contexts is considered most beneficial for both outcomes (integration hypothesis). However, it is unclear whether the integration hypothesis applies in assimilative contexts, across different outcomes, and across different immigrant groups. This study investigates the association of cultural identity with several indicators of academic achievement and psychological adaptation in immigrant adolescents (N = 3894, 51% female, Mage = 16.24, SDage = 0.71) in Germany. Analyses support the integration hypothesis for aspects of psychological adaptation but not for academic achievement. Moreover, for some outcomes, findings vary across immigrant groups from Turkey (n = 809), the former Soviet Union (n = 712), and heterogeneous other countries (n = 2373). The results indicate that the adaptive potential of identity integration is limited in assimilative contexts, such as Germany, and that it may vary across different outcomes and groups. As each identification is positively associated with at least one outcome, however, both identification dimensions seem to be important for the adaptation of immigrant adolescents. (PsycInfo Database Record (c) 2020 APA, all rights reserved)</t>
  </si>
  <si>
    <t>http://search.ebscohost.com.proxy-ub.rug.nl/login.aspx?direct=true&amp;db=psyh&amp;AN=2017-41418-001&amp;site=ehost-live&amp;scope=site</t>
  </si>
  <si>
    <t>Is integration the best way to acculturate? A reexamination of the bicultural-adaptation relationship in the 'ICSEY dataset' using the bilineal method.</t>
  </si>
  <si>
    <t>Abu-Rayya, Hisham M.; Sam, David L.</t>
  </si>
  <si>
    <t>2017-18731-002</t>
  </si>
  <si>
    <t>10.1177/0022022116685846</t>
  </si>
  <si>
    <t>Acculturation; Social Integration; Multiculturalism; Adaptation; Immigration; Adolescence (13-17 yrs); Adulthood (18 yrs &amp; older); Young Adulthood (18-29 yrs)</t>
  </si>
  <si>
    <t>The present study reexamined the relationship between biculturalism and adaptation in the ICSEY1 data. The sample consisted of 5,365 immigrants, aged between 13 and 18 years (M = 15.35, SD = 1.56) who were living in 13 different countries. We measured biculturalism bilineally using a range of ICSEY variables akin to acculturation. The study findings revealed that biculturalism was the most preferred acculturation mode across countries and within most of the countries. Biculturalism was positively related to two out of three psychological adaptation measures and one out of two sociocultural adaptation measures across and within most participating countries. The pattern of relationship remained true after controlling for perceived discrimination in the analyses. (PsycInfo Database Record (c) 2020 APA, all rights reserved)</t>
  </si>
  <si>
    <t>http://search.ebscohost.com.proxy-ub.rug.nl/login.aspx?direct=true&amp;db=psyh&amp;AN=2017-18731-002&amp;site=ehost-live&amp;scope=site</t>
  </si>
  <si>
    <t>Is migration to Canada associated with unhealthy weight gain? overweight and obesity among Canada's immigrants.</t>
  </si>
  <si>
    <t>McDonald, James Ted; Kennedy, Steven</t>
  </si>
  <si>
    <t>2005-15429-001</t>
  </si>
  <si>
    <t>10.1016/j.socscimed.2005.05.004</t>
  </si>
  <si>
    <t>Body Weight; Health; Immigration; Obesity; Weight Gain; Adulthood (18 yrs &amp; older); Young Adulthood (18-29 yrs); Thirties (30-39 yrs); Middle Age (40-64 yrs); Aged (65 yrs &amp; older); Male; Female</t>
  </si>
  <si>
    <t>This paper aims to address a gap in our understanding of immigrant health issues by examining the determinants of excess weight--an important indicator of current and future health. The paper combines data drawn from recent large health surveys to identify how the weight of recent immigrants compares with that of native-born people, and how the likelihood of becoming overweight or obese changes with additional years in Canada. We find evidence that on average, immigrants are substantially less likely to be obese or overweight upon arrival in Canada. These measures converge slowly to native-born levels, but there is marked variation by the ethnicity of the immigrant. Since changes in weight will reflect choices with respect to diet and activity, the extent to which overweight and obesity rates change with years in Canada may reflect the extent to which immigrants interact with or are influenced by members of their ethnic group who reside in the same area. We find evidence that ethnic group social network effects exert a quantitatively important influence on the incidence of being overweight and obese for members of most ethnic minorities, tempering the process of adjustment to Canadian lifestyle norms that may be driving excess weight gain with additional years in Canada. (PsycINFO Database Record (c) 2016 APA, all rights reserved)</t>
  </si>
  <si>
    <t>http://search.ebscohost.com.proxy-ub.rug.nl/login.aspx?direct=true&amp;db=psyh&amp;AN=2005-15429-001&amp;site=ehost-live&amp;scope=site</t>
  </si>
  <si>
    <t>Is multiculturalism a viable path in Chile? Intergroup and acculturative perspectives on Chilean society and Peruvian immigrants.</t>
  </si>
  <si>
    <t>Sirlopú, David; Van Oudenhoven, Jan Pieter</t>
  </si>
  <si>
    <t>2013-38144-001</t>
  </si>
  <si>
    <t>10.1016/j.ijintrel.2013.09.011</t>
  </si>
  <si>
    <t>Acculturation; Immigration; Intergroup Dynamics; Multiculturalism; Social Identity; Social Structure; Society; Adulthood (18 yrs &amp; older); Male; Female</t>
  </si>
  <si>
    <t>Many Western democracies have implemented multiculturalism to integrate different minority groups, including immigrants. What happens with countries that are recently experiencing an increasing growth in their immigration rates? This is the case of Chile. As a consequence of continuing economic growth, it has become an attractive destination to people from neighbouring nations. Among these immigrants, Peruvians are the largest group. Since in Chile multiculturalism has started to become an issue of public opinion, the current study analyzed levels of endorsement of multiculturalism and differences in Socioeconomic Status (SES) among Chileans (N = 300) and Peruvian immigrants (N = 400). Based on the Instrumental Model of Group Conflict and Social Identity Theory, we tested predictors of multiculturalism. In addition, we analyzed the relationship between acculturation and intergroup variables in both samples. Findings showed Chilean endorsement of multiculturalism. This was negatively associated with perceived threat and Social Dominance Orientation, especially among people of low SES. Moreover, permeability and legitimacy proposed by Social Identity Theory emerged as important predictors of desire for separation among Peruvian immigrants. These results are discussed in terms of its conceptual and public policy implications in Chile. (PsycINFO Database Record (c) 2017 APA, all rights reserved)</t>
  </si>
  <si>
    <t>http://search.ebscohost.com.proxy-ub.rug.nl/login.aspx?direct=true&amp;db=psyh&amp;AN=2013-38144-001&amp;site=ehost-live&amp;scope=site</t>
  </si>
  <si>
    <t>Is the influence of social support on mental health the same for immigrants and non-immigrants?</t>
  </si>
  <si>
    <t>Puyat, Joseph H.</t>
  </si>
  <si>
    <t>2013-14543-019</t>
  </si>
  <si>
    <t>10.1007/s10903-012-9658-7</t>
  </si>
  <si>
    <t>Immigration; Mental Health; Social Support; Childhood (birth-12 yrs); School Age (6-12 yrs); Adolescence (13-17 yrs); Adulthood (18 yrs &amp; older); Young Adulthood (18-29 yrs); Thirties (30-39 yrs); Middle Age (40-64 yrs); Aged (65 yrs &amp; older); Male; Female</t>
  </si>
  <si>
    <t>The association between social support and mental health across immigrant groups were examined in this study. A population-based sample was extracted from a 2009/10 Canadian community health survey. Self-reported mood or anxiety disorders and a standardized social support scale were used as outcome and explanatory variables. The association between these variables was measured using logistic regression controlling for sex, age, marital status, education, self-rated health and perceived stress. Stratified analyses were performed to test if the strength of association differed by immigrant status. In comparison with individuals who had moderate levels of social support, individuals with low social support had higher odds of reporting mental disorders and this association appeared strongest among recent immigrants. Using the same comparison group, individuals with high social support had lower odds of reporting mental disorders and this association appeared stronger among long-term immigrants. Findings were discussed within the context of immigration stress and acculturation strategies. (PsycINFO Database Record (c) 2016 APA, all rights reserved)</t>
  </si>
  <si>
    <t>http://search.ebscohost.com.proxy-ub.rug.nl/login.aspx?direct=true&amp;db=psyh&amp;AN=2013-14543-019&amp;site=ehost-live&amp;scope=site</t>
  </si>
  <si>
    <t>Is there equity in use of healthcare services among immigrants, their descendents, and ethnic Danes?</t>
  </si>
  <si>
    <t>Nielsen, Signe S.; Hempler, Nana F.; Waldorff, Frans B.; Kreiner, Svend; Krasnik, Allan</t>
  </si>
  <si>
    <t>Scandinavian Journal of Public Health</t>
  </si>
  <si>
    <t>2012-14722-006</t>
  </si>
  <si>
    <t>10.1177/1403494812443602</t>
  </si>
  <si>
    <t>Health Care Utilization; Immigration; Racial and Ethnic Differences; Health Disparities; Socioeconomic Factors; Health; Social Integration; Socioeconomic Status; Adulthood (18 yrs &amp; older); Young Adulthood (18-29 yrs); Thirties (30-39 yrs); Middle Age (40-64 yrs); Aged (65 yrs &amp; older); Male; Female</t>
  </si>
  <si>
    <t>Background: Legislation in Denmark explicitly states the right to equal access to healthcare. Nevertheless, inequities may exist; accordingly evidence is needed. Our objective was to investigate whether differences in healthcare utilisation in immigrants, their descendents, and ethnic Danes could be explained by health status, socioeconomic factors, and integration. Methods: We conducted a nationwide survey in 2007 with 4952 individuals aged 18–66 comprising ethnic Danes; immigrants from the former Yugoslavia, Iran, Iraq, Lebanon, Pakistan, Somalia, Turkey; and Turkish and Pakistani descendents. Data were linked to registries on healthcare utilisation. Using Poisson regression models, contacts to hospital, emergency room (ER), general practitioner (GP), specialist in private practice, and dentist were estimated. Analyses were adjusted for health symptoms, sociodemographic factors, and proxies of integration. Results: In adjusted analyses, immigrants and their descendents had increased use of ER (multiplicative effect 1.19–5.02 dependent on immigrant and descendent group) and less frequent contact to dentist (multiplicative effect 0.04–0.80 dependent on the group). For hospitalisation, GP, and specialist doctor, physical health symptoms had positive but different explanatory effects within groups; however, most immigrant and descendent groups had increased use of services compared with that of ethnic Danes. Socioeconomic factors and integration had no systematic effect on the use in the different groups. Conclusions: The Danish healthcare system seems responsive to health across different population groups. We found no systematic pattern of inequity in use of free-of-charge healthcare services, but for dentists, who require co-payment, we found inequity among immigrants and descendents compared with ethnic Danes. (PsycInfo Database Record (c) 2020 APA, all rights reserved)</t>
  </si>
  <si>
    <t>http://search.ebscohost.com.proxy-ub.rug.nl/login.aspx?direct=true&amp;db=psyh&amp;AN=2012-14722-006&amp;site=ehost-live&amp;scope=site</t>
  </si>
  <si>
    <t>Israel 2000: Immigration and Gender Differences in Alcohol Consumption.</t>
  </si>
  <si>
    <t>Schiff, Miriam; Rahav, Giora; Teichman, Meir</t>
  </si>
  <si>
    <t>The American Journal on Addictions</t>
  </si>
  <si>
    <t>2005-07279-005</t>
  </si>
  <si>
    <t>10.1080/10550490590949578</t>
  </si>
  <si>
    <t>Alcohol Drinking Patterns; Cross Cultural Differences; Human Sex Differences; Immigration; Sociocultural Factors; Adolescence (13-17 yrs); Adulthood (18 yrs &amp; older); Young Adulthood (18-29 yrs); Thirties (30-39 yrs); Middle Age (40-64 yrs); Male; Female</t>
  </si>
  <si>
    <t>The present study addresses the association between immigration from the former Soviet Union (FSU) and gender and alcohol consumption among a representative sample of young adults in Israel 2000. Previous studies that were conducted on FSU immigrants to Israel indicate higher consumption than that of resident Israelis and immigrants of earlier periods. The current study aims to assess alcohol consumption among FSU and resident Israelis five years later to determine whether the discrepancy in alcohol consumption stays consistent or reduces. In addition, gender differences in alcohol consumption among the Israeli society were examined as well, as a special case of socio-culture differences. The data came from the 2000 national survey of drinking in Israel. Of 5,004 Jewish Israelis, 532 were immigrants from the FSU who arrived since 1989, and 4,472 were resident Israelis. The FSU group was compared with resident Israelis, and males were compared to females on several drinking variables. Logistic regression was the principal method of analysis. Demographics and cultural variables as main effects or in interaction with FSU and gender were controlled. The FSU group was significantly more likely to report drinking in the last twelve months plus drinking in the last thirty days than resident Israelis. Women's reported drinking in the last twelve months was one fourth of men's and during the past thirty days was one fifth of men's. Further investigation on the associations between the success of FSU acculturation in the Israeli society and drinking patterns as well as attitudes toward women and gender differences in alcohol consumption may provide explanations for gender and immigration gaps in alcohol consumption. (PsycINFO Database Record (c) 2016 APA, all rights reserved)</t>
  </si>
  <si>
    <t>http://search.ebscohost.com.proxy-ub.rug.nl/login.aspx?direct=true&amp;db=psyh&amp;AN=2005-07279-005&amp;site=ehost-live&amp;scope=site</t>
  </si>
  <si>
    <t>It's the frame that matters: Immigrant integration and media framing effects in the Netherlands.</t>
  </si>
  <si>
    <t>Bos, Linda; Lecheler, Sophie; Mewafi, Moniek; Vliegenthart, Rens</t>
  </si>
  <si>
    <t>2016-56132-011</t>
  </si>
  <si>
    <t>10.1016/j.ijintrel.2016.10.002</t>
  </si>
  <si>
    <t>Cross Cultural Communication; Framing Effects; Immigration; Mass Media; Social Integration; Adulthood (18 yrs &amp; older); Thirties (30-39 yrs); Middle Age (40-64 yrs); Aged (65 yrs &amp; older); Male; Female</t>
  </si>
  <si>
    <t>In the past years the Netherlands have witnessed turbulent debates on immigration and integration, characterized by high levels of negativity and containing a variety of different viewpoints, i.e., frames, of the issue. We use a 4 × 2 between subjects experiment to investigate, which responses four salient immigration frames elicit among Dutch citizens. The results show that, whereas the willingness to support collective action is affected by the valence of the story, attitudes towards immigrants and intercultural behavioural intentions are affected by the frame of the story: the multicultural frame exerts positive, and the victimization frame exerts negative effects, regardless of the valence of the story. (PsycINFO Database Record (c) 2017 APA, all rights reserved)</t>
  </si>
  <si>
    <t>http://search.ebscohost.com.proxy-ub.rug.nl/login.aspx?direct=true&amp;db=psyh&amp;AN=2016-56132-011&amp;site=ehost-live&amp;scope=site</t>
  </si>
  <si>
    <t>Job-related well-being of immigrants.</t>
  </si>
  <si>
    <t>Neto, Félix; Wilks, Daniela C.; Fonseca, Ana Cristina Menezes</t>
  </si>
  <si>
    <t>2018-04233-001</t>
  </si>
  <si>
    <t>10.1007/s11205-018-1849-8</t>
  </si>
  <si>
    <t>Immigration; Job Satisfaction; Well Being; Working Conditions; Adulthood (18 yrs &amp; older); Young Adulthood (18-29 yrs); Thirties (30-39 yrs); Middle Age (40-64 yrs); Male; Female</t>
  </si>
  <si>
    <t>Considerable literature exists on the acculturation and adaptation of immigrants. For the most part, studies looked at their psychological and social adaptation to the host society in general. This study takes a step further, by looking into their working lives. The current paper presents a new perspective which regards job-related well-being and job satisfaction as indicators of psychological adaptation of immigrants. An investigation was conducted into the work-related well-being of Portuguese immigrants in Switzerland. The results show that on a whole Portuguese migrants working in Switzerland are satisfied with their jobs. Longer residential length was associated with higher workplace well-being. Job affective well-being and job satisfaction were predicted by sociocultural adaptation and satisfaction with migration life. (PsycINFO Database Record (c) 2019 APA, all rights reserved)</t>
  </si>
  <si>
    <t>http://search.ebscohost.com.proxy-ub.rug.nl/login.aspx?direct=true&amp;db=psyh&amp;AN=2018-04233-001&amp;site=ehost-live&amp;scope=site</t>
  </si>
  <si>
    <t>John Henryism active coping, acculturation, and psychological health in Korean immigrants.</t>
  </si>
  <si>
    <t>Logan, Jeongok G.; Barksdale, Debra J.; James, Sherman A.; Chien, Lung-Chang</t>
  </si>
  <si>
    <t>2017-06807-008</t>
  </si>
  <si>
    <t>10.1177/1043659615615402</t>
  </si>
  <si>
    <t>Acculturation; Coping Behavior; Immigration; Mental Health; Adulthood (18 yrs &amp; older); Young Adulthood (18-29 yrs); Thirties (30-39 yrs); Middle Age (40-64 yrs); Male; Female</t>
  </si>
  <si>
    <t>This study aimed to explore the levels of John Henryism (JH) active coping and its association with acculturation status and psychological health (specifically perceived stress, acculturative stress, anxiety, and depression) in Korean immigrants to the United States. In 102 Korean immigrants, JH active coping was measured by the JH Scale; acculturation by the Bidimensional Acculturation Scale; perceived stress by the Perceived Stress Scale; acculturative stress by the Social, Attitudinal, Familial, and Environmental Scale; anxiety by the State Anxiety Subscale of the Spielberger State-Trait Anxiety Inventory; and depression by the Center for Epidemiological Studies Depression Scale. The levels of JH active coping in this sample of Korean immigrants appear to be lower than the levels reported in other racial groups. Independent of demographic factors, JH active coping was a significant predictor of higher acculturation status and better psychological health as indicated by lower levels of perceived stress, acculturative stress, anxiety, and depressive symptoms. (PsycINFO Database Record (c) 2017 APA, all rights reserved)</t>
  </si>
  <si>
    <t>http://search.ebscohost.com.proxy-ub.rug.nl/login.aspx?direct=true&amp;db=psyh&amp;AN=2017-06807-008&amp;site=ehost-live&amp;scope=site</t>
  </si>
  <si>
    <t>Knowledge and beliefs about health promotion and preventive health care among Somali women in the United States.</t>
  </si>
  <si>
    <t>Carroll, Jennifer; Epstein, Ronald; Fiscella, Kevin; Volpe, Ellen; Diaz, Katherine; Omar, Sadiya</t>
  </si>
  <si>
    <t>2007-04365-004</t>
  </si>
  <si>
    <t>10.1080/07399330601179935</t>
  </si>
  <si>
    <t>Health Attitudes; Health Care Services; Health Promotion; Refugees; Preventive Health Services; Health Knowledge; Immigration; Adulthood (18 yrs &amp; older); Young Adulthood (18-29 yrs); Thirties (30-39 yrs); Middle Age (40-64 yrs); Female</t>
  </si>
  <si>
    <t>We explored conceptualizations of health promotion and experiences with preventive health services among African refugee women. We asked 34 resettled Somali refugee women about their beliefs and experiences regarding health promotion and common preventive health care services in the United States. Interviews were audiotaped, transcribed, and analyzed using a grounded theory approach. Key themes were the importance of good hygiene, an adequate source of food and water, access to a regular source of health care, spirituality, traditional practices, and functioning well at home. All participants were familiar with the process and rationale for immunizations and routine medical examinations; few understood cancer screening services. (PsycInfo Database Record (c) 2020 APA, all rights reserved)</t>
  </si>
  <si>
    <t>http://search.ebscohost.com.proxy-ub.rug.nl/login.aspx?direct=true&amp;db=psyh&amp;AN=2007-04365-004&amp;site=ehost-live&amp;scope=site</t>
  </si>
  <si>
    <t>Knowledge and perceptions of dementia and Alzheimer's disease in four ethnic groups in Copenhagen, Denmark.</t>
  </si>
  <si>
    <t>International Journal of Geriatric Psychiatry</t>
  </si>
  <si>
    <t>2016-08040-003</t>
  </si>
  <si>
    <t>10.1002/gps.4314</t>
  </si>
  <si>
    <t>Alzheimer's Disease; Dementia; Health Knowledge; Minority Groups; Racial and Ethnic Attitudes; Acculturation; Educational Attainment Level; Racial and Ethnic Differences; South Asian Cultural Groups; European Cultural Groups; Adulthood (18 yrs &amp; older); Middle Age (40-64 yrs); Aged (65 yrs &amp; older); Male; Female</t>
  </si>
  <si>
    <t>Objective: Older people from ethnic minorities are underrepresented in dementia care. Some of the determinants of access to care are knowledge and perceptions of dementia, which may vary between ethnic groups in the population. The aims of this study were to compare knowledge and perceptions of dementia and Alzheimer’s disease (AD) among four ethnic groups in Copenhagen, Denmark, and to assess the influence of education and acculturation. Methods: Quantitative survey data from 260 participants were analyzed: 100 native Danish, and 47 Polish, 51 Turkish, and 62 Pakistani immigrants. Knowledge and perceptions of dementia and AD were assessed with the Dementia Knowledge Questionnaire (DKQ) supplemented with two questions from the Alzheimer’s Disease Awareness Test (ADAT). Knowledge and perceptions of dementia and AD in the four groups were compared, and the influence of education and acculturation was assessed. Results: Group differences were found on the DKQ total score as well as all sub-domains. Turkish and Pakistani people were most likely to hold normalizing and stigmatizing views of AD. Level of education and acculturation had limited influence on dementia knowledge, accounting for 22% of the variance at most and had only minor influence on perceptions of AD. Conclusions: Lacking knowledge and certain perceptions of dementia and AD may hamper access to services in some ethnic minority groups. Ongoing efforts to raise awareness that dementia and AD are not part of normal aging, particularly among Turkish and Pakistani communities, should be a high priority for educational outreach. (PsycINFO Database Record (c) 2017 APA, all rights reserved)</t>
  </si>
  <si>
    <t>http://search.ebscohost.com.proxy-ub.rug.nl/login.aspx?direct=true&amp;db=psyh&amp;AN=2016-08040-003&amp;site=ehost-live&amp;scope=site</t>
  </si>
  <si>
    <t>Knowledge of Alzheimer's disease and subjective memory impairment in Latin American seniors in the Greater Toronto area.</t>
  </si>
  <si>
    <t>Fornazzari, L.; Fischer, C.; Hansen, T.; Ringer, L.</t>
  </si>
  <si>
    <t>International Psychogeriatrics</t>
  </si>
  <si>
    <t>2009-17701-018</t>
  </si>
  <si>
    <t>10.1017/S1041610209990433</t>
  </si>
  <si>
    <t>Alzheimer's Disease; Health Knowledge; Memory Disorders; Latinos/Latinas; Geriatric Psychiatry; Urban Environments; Adulthood (18 yrs &amp; older); Aged (65 yrs &amp; older); Male; Female</t>
  </si>
  <si>
    <t>Background: This study examined knowledge levels of Alzheimer's disease (AD) in a sample of Latin American seniors attending AD educational sessions in a Canadian city; and investigated the relationship between knowledge of AD, demographic variables, education level, acculturation level (years living in Canada), subjective memory complaint and objective memory impairment. Methods: One hundred and twenty-five Spanish-speaking adults living independently in the Greater Toronto Area completed subjective and objective memory measures and completed a questionnaire on their knowledge of AD. Results: Knowledge of AD was very weakly correlated with level of education and years living in Canada. In addition, there were no correlations between knowledge level and gender or subjective memory complaints. Conclusions: The results suggest that Latin American seniors, in the Toronto community, are not knowledgeable about AD. In spite of showing subjective cognitive impairment the sample were not aware of the principal cause of their symptoms. Additional research is needed to develop better focused and specifically directed health promotion initiatives for the Latin American seniors living in the Toronto community. (PsycINFO Database Record (c) 2016 APA, all rights reserved)</t>
  </si>
  <si>
    <t>http://search.ebscohost.com.proxy-ub.rug.nl/login.aspx?direct=true&amp;db=psyh&amp;AN=2009-17701-018&amp;site=ehost-live&amp;scope=site</t>
  </si>
  <si>
    <t>Knowledge of depression and depression related stigma in immigrants from former Yugoslavia.</t>
  </si>
  <si>
    <t>Copelj, Anja; Kiropoulos, Litza</t>
  </si>
  <si>
    <t>2011-25096-006</t>
  </si>
  <si>
    <t>10.1007/s10903-011-9463-8</t>
  </si>
  <si>
    <t>Acculturation; Health Knowledge; Immigration; Major Depression; Stigma; Adulthood (18 yrs &amp; older); Male; Female</t>
  </si>
  <si>
    <t>The aim of the current research was to assess and compare level of depression literacy and level of depression related stigma in first generation immigrants from former Yugoslavia (FY) with a same aged Anglo Australian (AA) sample. The community sample comprised of 54 immigrants born in the FY and 54 AA born participants living in Melbourne. Participants were recruited through various social and recreational clubs. All participants completed questionnaires assessing depression literacy, self and perceived stigma and level of acculturation for the immigrants from FY in an interview format. After controlling for level of education, immigrants from the FY demonstrated lower depression literacy and higher personal and perceived depression stigma scores compared to the AA participants. The findings provide further insight to potential barriers impeding access to mental health care in immigrant populations living in Australia. Implications for mental health professionals working with immigrant populations in Australia are discussed. (PsycINFO Database Record (c) 2016 APA, all rights reserved)</t>
  </si>
  <si>
    <t>http://search.ebscohost.com.proxy-ub.rug.nl/login.aspx?direct=true&amp;db=psyh&amp;AN=2011-25096-006&amp;site=ehost-live&amp;scope=site</t>
  </si>
  <si>
    <t>Knowledge, beliefs and attitudes of Somali men in Olmsted County, Minnesota, U.S., on the human papillomavirus vaccine and cervical cancer screening: January 17, 2015.</t>
  </si>
  <si>
    <t>Abakporo, Uzoma; Hussein, Abdirahman; Begun, James W.; Shippee, Tetyana</t>
  </si>
  <si>
    <t>2018-45045-024</t>
  </si>
  <si>
    <t>10.1007/s10903-017-0642-0</t>
  </si>
  <si>
    <t>Cancer Screening; Health Screening; Immigration; Neoplasms; Human Papillomavirus; Adulthood (18 yrs &amp; older); Young Adulthood (18-29 yrs); Thirties (30-39 yrs); Middle Age (40-64 yrs); Male</t>
  </si>
  <si>
    <t>This study explores the general knowledge of Human Papillomavirus vaccine (HPV) and cervical cancer screening (CCS) among Somali men in the U.S., who are major decision-makers in Somali households. HPV infects both men and women, and causes genital warts and cervical cancer (CC). High mortality from CC persists among minorities due to low uptake of preventive tools. Eleven questions assessed general knowledge of HPV and CCS among 30 Somali male respondents. The knowledge of HPV and CCS by education level, age, and years lived in the U.S., was assessed using the health belief model. Most respondents had no knowledge of HPV vaccine and CCS, and low perceived susceptibility to HPV infection. There is need for more research on Somali men’s attitude to HPV vaccine and CCS uptake among Somali adolescents and women. (PsycINFO Database Record (c) 2020 APA, all rights reserved)</t>
  </si>
  <si>
    <t>http://search.ebscohost.com.proxy-ub.rug.nl/login.aspx?direct=true&amp;db=psyh&amp;AN=2018-45045-024&amp;site=ehost-live&amp;scope=site</t>
  </si>
  <si>
    <t>Koreans' Use of Medical Services in Seoul, Korea and California.</t>
  </si>
  <si>
    <t>Hill, Linda; Hofstetter, C. Richard; Hovell, Melbourne; Lee, Jooeun; Irvin, Veronica; Zakarian, Joy</t>
  </si>
  <si>
    <t>2006-08828-008</t>
  </si>
  <si>
    <t>10.1007/s10903-006-9332-4</t>
  </si>
  <si>
    <t>Acculturation; Health Care Services; Health Insurance; Immigration; Medical Sciences; Cardiovascular System; Human Sex Differences; Risk Factors; Adulthood (18 yrs &amp; older); Male; Female</t>
  </si>
  <si>
    <t>This study assessed the types of health care services used by Korean immigrants, and differences in use between different countries, genders, health insurance status, acculturation status, and cardiovascular risk. Participant selection used probability sampling to represent the adult populations of California, United States, and Seoul, Republic of Korea. A telephone survey was administered to 2830 adult Korean-Californians and 500 adult Koreans living in Seoul. Female gender was significantly associated with higher use of outpatient services, ER usage, and hospitalization. Californian residence was significantly associated with higher outpatient usage and lower hospitalization rates. Health insurance was associated with higher allopathic health care utilization, and lower traditional health care usage, and acculturation with lower traditional health care usage. Higher self-reported cardiac risk factors were associated with lower allopathic and higher traditional health care. This suggests barriers to allopathic health care, but not traditional health care, for Koreans living in California without health insurance. (PsycINFO Database Record (c) 2016 APA, all rights reserved)</t>
  </si>
  <si>
    <t>http://search.ebscohost.com.proxy-ub.rug.nl/login.aspx?direct=true&amp;db=psyh&amp;AN=2006-08828-008&amp;site=ehost-live&amp;scope=site</t>
  </si>
  <si>
    <t>Labor market integration, immigration experience, and psychological distress in a multi-ethnic sample of immigrants residing in Portugal.</t>
  </si>
  <si>
    <t>Teixeira, Ana F.; Dias, Sónia F.</t>
  </si>
  <si>
    <t>2017-56427-007</t>
  </si>
  <si>
    <t>10.1080/13557858.2016.1246421</t>
  </si>
  <si>
    <t>Experiences (Events); Immigration; Labor Market; Psychological Stress; Racial and Ethnic Groups; Acculturation; Life Experiences; Socioeconomic Status; Test Construction; Adulthood (18 yrs &amp; older); Thirties (30-39 yrs); Middle Age (40-64 yrs); Male; Female</t>
  </si>
  <si>
    <t>Objectives: This study aims at examining how factors relating to immigrants’ experience in the host country affect psychological distress (PD). Specifically, we analyzed the association among socio-economic status (SES), integration in the labor market, specific immigration experience characteristics, and PD in a multi-ethnic sample of immigrant individuals residing in Lisbon, Portugal. Design: Using a sample (n = 1375) consisting of all main immigrant groups residing in Portugal’s metropolitan area of Lisbon, we estimated multivariable linear regression models of PD regressed on selected sets of socio-economic independent variables. A psychological distress scale was constructed based on five items (feeling physically tired, feeling psychologically tired, feeling happy, feeling full of energy, and feeling lonely). Results: Variables associated with a decrease in PD are being a male (demographic), being satisfied with their income level (SES), living with the core family and having higher number of children (social isolation), planning to remain for longer periods of time in Portugal (migration project), and whether respondents considered themselves to be in good health condition (subjective health status). Study variables negatively associated with immigrants’ PD were job insecurity (labor market), and the perception that health professionals were not willing to understand immigrants during a clinical interaction. Conclusion: The study findings emphasized the importance of labor market integration and access to good quality jobs for immigrants’ psychological well-being, as well as the existence of family ties in the host country, intention to reside long term in the host country, and high subjective (physical) health. Our research suggests the need to foster cross-national studies of immigrant populations in order to understand the social mechanisms that transverse all migrant groups and contribute to lower psychological well-being. (PsycINFO Database Record (c) 2018 APA, all rights reserved)</t>
  </si>
  <si>
    <t>http://search.ebscohost.com.proxy-ub.rug.nl/login.aspx?direct=true&amp;db=psyh&amp;AN=2017-56427-007&amp;site=ehost-live&amp;scope=site</t>
  </si>
  <si>
    <t>Language acculturation and pediatric injury risk.</t>
  </si>
  <si>
    <t>Schwebel, David C.; Brezausek, Carl M.</t>
  </si>
  <si>
    <t>2009-06700-003</t>
  </si>
  <si>
    <t>10.1007/s10903-008-9158-y</t>
  </si>
  <si>
    <t>Acculturation; Injuries; Pediatrics; Risk Factors; Immigration; Language; Childhood (birth-12 yrs); School Age (6-12 yrs); Adolescence (13-17 yrs); Male; Female</t>
  </si>
  <si>
    <t>The number of immigrant children in the US continues to grow rapidly, but pediatric immigrant health remains a poorly understood domain. Previous research suggests immigrant children have reduced risk for injury, but the reason for that finding remains unknown. One leading hypothesis is cultural—less acculturated children in the United States appear to be protected from injury—but the combined influence of immigrant status and acculturation is unclear. This study examines the roles of immigration and language acculturation on pediatric injury risk. Samples of 8,526 children and 4,010 adolescents included in the 2003 California Health Interview Survey were studied. The primary analytic technique was Poisson regressions predicting incidents of injury requiring professional medical attention. Predictor variables included demographic characteristics, health insurance availability, birthplace (US vs. other), and language acculturation. Both birthplace and language acculturation were related to children’s and to adolescent’s risk for unintentional injury, but language acculturation emerged as the stronger univariate predictor and only multivariate predictor of injury in both models. Possible interpretations of the results are discussed. (PsycINFO Database Record (c) 2016 APA, all rights reserved)</t>
  </si>
  <si>
    <t>http://search.ebscohost.com.proxy-ub.rug.nl/login.aspx?direct=true&amp;db=psyh&amp;AN=2009-06700-003&amp;site=ehost-live&amp;scope=site</t>
  </si>
  <si>
    <t>Language acculturation anxiety in Spanish speaking adult immigrants learning English in the United States.</t>
  </si>
  <si>
    <t>Rose, Glenda Lynn</t>
  </si>
  <si>
    <t>2009-99010-056</t>
  </si>
  <si>
    <t>Acculturation; Anxiety; Foreign Languages; Immigration; Learning; Language; Adulthood (18 yrs &amp; older)</t>
  </si>
  <si>
    <t>The principle question of this study pertained to the nature of the relationships between foreign language anxiety, acculturation, and acculturative stress as it is experienced by adult Spanish speaking immigrants living in the United States. In addition to the nature of the relationships between the constructs, the ways in which they are experienced by adult English learners were also investigated. Three inventories were adapted for delivery via a multimedia website. The English Language Anxiety Scale (Pappamihiel, 1999) adapted from the Foreign Language Classroom Anxiety Scale (Horwitz, Horwitz &amp; Cope, 1986) was adapted for measuring anxiety. The Stephenson Multigroup Acculturation Scale (1999) was selected for measuring the degree of acculturation, and the Multidimensional Acculturative Stress Inventory (Rodriguez, Myers, Bingham Mira, Flores, &amp; Garcia-Hernandez, 2002) was selected for measuring acculturative stress. From the ninety-five original surveys that were begun on the website, fifty-five cases were selected for analysis. Results showed no significant correlations between the major constructs; however, interesting correlations among various individual items in the scales existed. Additionally, combined with the analysis of six semi-structured interviews, results indicate that the concept of foreign language classroom anxiety should be moved beyond the perimeter of the classroom for the case of adult immigrants learning English in an English-speaking country. Results further indicate that language acquisition in the adopted country when accompanied by the regular processes of acculturation may produce higher levels of language anxiety, not only in the degree of anxiety but also in the proportion of students dealing with anxiety when speaking English. The construct of language acculturation anxiety is proposed to identify the combined effect of language anxiety, acculturation, and acculturative stress. Implications for the instruction of adult English students are made, as well as recommendations for future studies, including considerations when using a computer mediated delivery with this population. (PsycINFO Database Record (c) 2016 APA, all rights reserved)</t>
  </si>
  <si>
    <t>http://search.ebscohost.com.proxy-ub.rug.nl/login.aspx?direct=true&amp;db=psyh&amp;AN=2009-99010-056&amp;site=ehost-live&amp;scope=site</t>
  </si>
  <si>
    <t>Language acquisition among adult immigrants in Canada: The effect of premigration language capital.</t>
  </si>
  <si>
    <t>Adamuti-Trache, Maria</t>
  </si>
  <si>
    <t>Adult Education Quarterly</t>
  </si>
  <si>
    <t>2013-12180-001</t>
  </si>
  <si>
    <t>10.1177/0741713612442804</t>
  </si>
  <si>
    <t>Adult Attitudes; Immigration; Language; Social Capital; Social Integration; Adulthood (18 yrs &amp; older); Young Adulthood (18-29 yrs); Thirties (30-39 yrs); Middle Age (40-64 yrs); Male; Female</t>
  </si>
  <si>
    <t>Gaining proficiency in the host country language is a key element to successful integration of new immigrants. In this article, the author adopts Bourdieu’s perspective that accumulation and conversion of forms of capital is only possible through practice in a social field; therefore, the author puts forward the idea that language capital acquisition occurs through active participation in the host society. By employing data from the Longitudinal Survey of Immigrants to Canada, this article demonstrates the variability in premigration language capital among recent adult immigrants to Canada and the effect of premigration language capital and individual factors on language proficiency gains over 4 years of arrival. The study examines opportunities for language acquisition through formal and informal learning and demonstrates that vulnerable groups, such as women, older immigrants, and less educated immigrants who have less language capital at arrival, report also limited access to learning opportunities. (PsycINFO Database Record (c) 2016 APA, all rights reserved)</t>
  </si>
  <si>
    <t>http://search.ebscohost.com.proxy-ub.rug.nl/login.aspx?direct=true&amp;db=psyh&amp;AN=2013-12180-001&amp;site=ehost-live&amp;scope=site</t>
  </si>
  <si>
    <t>Language dominance and culture dominance: L2 acquisition, L1 maintenance, and culture identification among Russian immigrants in the U.S.</t>
  </si>
  <si>
    <t>Shishkin, Elena</t>
  </si>
  <si>
    <t>2011-99050-008</t>
  </si>
  <si>
    <t>Bilingualism; Countries; Immigration; Language; Sociocultural Factors</t>
  </si>
  <si>
    <t>This dissertation investigated the extent of L2 (English) acquisition and L1 (Russian) maintenance of two age groups of Russian immigrants in the US and examined the relationship between participants’ current language dominance and culture dominance. The study also aimed at enhancing theoretical knowledge about the methodology of assessing language and culture dominance and at establishing which of the measures used here (self-reports of language proficiency, three lexical fluency tests, writing tasks, and a culture questionnaire) are the most accurate and practical for determining the more dominant language and culture. In addition to quantitative data, interviews provided insights into the participants' views and opinions on their language and culture and were used to supplement the statistical results with personal comments. The results indicate a surprisingly high level of first language and culture maintenance in the younger group together with highly successful L2 acquisition and acculturation, marking this group as rather balanced bilingually and bi-culturally. The older participants, on the other hand, clearly maintain dominance in both Russian language and Russian culture. Significant correlations established between different language proficiency measures carry methodological importance for future studies. (PsycINFO Database Record (c) 2016 APA, all rights reserved)</t>
  </si>
  <si>
    <t>http://search.ebscohost.com.proxy-ub.rug.nl/login.aspx?direct=true&amp;db=psyh&amp;AN=2011-99050-008&amp;site=ehost-live&amp;scope=site</t>
  </si>
  <si>
    <t>Language of administration as a source of measurement error: Implications for surveys of immigrants and cross-cultural survey research.</t>
  </si>
  <si>
    <t>Peytcheva, Emilia A.</t>
  </si>
  <si>
    <t>2009-99130-110</t>
  </si>
  <si>
    <t>Errors; Immigration; Language; Measurement; Minority Groups; South Asian Cultural Groups; Latinos/Latinas</t>
  </si>
  <si>
    <t>U.S. surveys of minorities and immigrants allow respondents to answer in the language of their choice; however, the extent to which the language of survey administration may affect survey responding remains unknown. Psychological and psycholinguistic research demonstrates that the language of administration may influence responses through its impact on various cognitive processes and through the cultural frame that a language brings to the conversational context. This dissertation examines the extent to which language of administration influences bilingual bicultural respondents' answers to survey questions. It consists of three related essays. The first proposes a framework for possible language influences at each step of the response formation process, based on findings from psycholinguistics and cross-cultural psychology. The second examines the existence of language effects in observational data from the New Immigrant Survey. It compares groups of questions where language effects are expected based on divergent view points of the two cultures under study (Hispanic vs. American) and groups of questions where no such effects were expected. The absence of random assignment to language of interview is addressed through the use of a propensity score method. The last essay presents analyses of an experimental assignment of bilingual respondents to language of survey administration in the National Latino and Asian American Study, comparing questions on similar topics as the ones examined in the observational study. Overall, the empirical investigation fails to detect strong language influences. Consistent with the proposed hypotheses, significant differences between language groups are found in questions related to alcohol consumption and family pride. Surprisingly, no language effects are detected in questions related to physical and mental health, family cohesion and family conflict. Various factors may explain the lack of strong language effects in this investigation - acculturation and level of bilingualism of the sample, interviewer and survey design characteristics, and unobservable factors not accounted in the propensity models are the most obvious. The existence of some language effects, however, requires further investigation of the conditions and mechanisms that produce them. (PsycINFO Database Record (c) 2016 APA, all rights reserved)</t>
  </si>
  <si>
    <t>http://search.ebscohost.com.proxy-ub.rug.nl/login.aspx?direct=true&amp;db=psyh&amp;AN=2009-99130-110&amp;site=ehost-live&amp;scope=site</t>
  </si>
  <si>
    <t>Language use and adherence to multiple cancer preventive health behaviors among Hispanics.</t>
  </si>
  <si>
    <t>Oh, April; Dodd, Kevin; Ballard-Barbash, Rachel; Perna, Frank M.; Berrigan, David</t>
  </si>
  <si>
    <t>2011-18140-007</t>
  </si>
  <si>
    <t>10.1007/s10903-011-9456-7</t>
  </si>
  <si>
    <t>Health Behavior; Language; Mortality Rate; Neoplasms; Prevention; Latinos/Latinas; Preventive Health Behavior; Adulthood (18 yrs &amp; older); Young Adulthood (18-29 yrs); Thirties (30-39 yrs); Middle Age (40-64 yrs); Male; Female</t>
  </si>
  <si>
    <t>Hispanics have lower cancer mortality rates than non-Hispanic Whites and Blacks, despite demographic profiles previously associated with higher cancer mortality. Differences in adherence to multiple cancer-preventive behaviors by acculturation may offer one explanation for this 'Hispanic paradox,' but the relationship is not well understood. We examined this relationship using the 2000 National Health Interview Survey, which provides cross-sectional data on a nationally representative sample of US Hispanics. Multinomial logistic regression models estimated relationships between language use (a measure of acculturation) and patterns of adherence, by gender, to multiple cancer-preventive health behaviors using adherence scores. Hispanics had greater odds of adherence to multiple behaviors compared to Non-Hispanics (OR = 2.76 [2.27, 3.36]). Hispanics with greater English language use had lower odds of adherence (OR = 0.45 [0.29, 0.69]). Women were more adherent than men (P &lt; 0.01) and their language use was associated with patterns of behavioral adherence more so than among men. Differences by gender and language use were identified in patterns of adherence to behavioral recommendations among the Hispanic population. Greater English language use was negatively associated with tobacco, alcohol, fruit and vegetable recommendation adherence but not with exercise. Study findings support evidence behaviors occur in combination and contributes to understanding of the role of language use in patterns of behavioral adherence. (PsycInfo Database Record (c) 2020 APA, all rights reserved)</t>
  </si>
  <si>
    <t>http://search.ebscohost.com.proxy-ub.rug.nl/login.aspx?direct=true&amp;db=psyh&amp;AN=2011-18140-007&amp;site=ehost-live&amp;scope=site</t>
  </si>
  <si>
    <t>Latinas’ colorectal cancer screening knowledge, barriers to receipt, and feasibility of home-based fecal immunochemical testing.</t>
  </si>
  <si>
    <t>Warner, Echo L.; Bodson, Julia; Mooney, Ryan; Lai, Djin; Samadder, N. Jewel; Kepka, Deanna</t>
  </si>
  <si>
    <t>2018-33553-027</t>
  </si>
  <si>
    <t>10.1007/s10903-017-0615-3</t>
  </si>
  <si>
    <t>Cancer Screening; Colon Disorders; Health Care Utilization; Neoplasms; Latinos/Latinas; Health Care Costs; Adulthood (18 yrs &amp; older); Male; Female</t>
  </si>
  <si>
    <t>Latinas’ high colorectal cancer (CRC) mortality makes them a priority population for CRC screening. CRC screening knowledge, perceived barriers, and feasibility of using the Fecal Immunochemical Test (FIT) was assessed among Latinas in Utah. Participants aged ≥ 50 (n = 95) were surveyed about knowledge and barriers to CRC screening. 27 participants completed a FIT and evaluation survey. Fisher’s exact tests assessed sociodemographic correlates of CRC screening outcomes. Most participants were overdue for CRC screening (n = 81, 85%). Age, acculturation, education, and employment were significantly associated with CRC screening status and/or reasons for being overdue (e.g., not knowing about the test, cost). All participants who received a FIT completed it, felt it was easy to use, and reported they would use it again. Latinas had limited awareness of CRC, CRC screenings, and experienced barriers to CRC screening (e.g., limited access, cost), but were willing to utilize a low-cost home-based FIT. (PsycINFO Database Record (c) 2018 APA, all rights reserved)</t>
  </si>
  <si>
    <t>http://search.ebscohost.com.proxy-ub.rug.nl/login.aspx?direct=true&amp;db=psyh&amp;AN=2018-33553-027&amp;site=ehost-live&amp;scope=site</t>
  </si>
  <si>
    <t>Latinos' experiences in the US: Acculturation, discrimination, stress, social cohesion and psychiatric disorder.</t>
  </si>
  <si>
    <t>Roth, Kimberly B.</t>
  </si>
  <si>
    <t>8-B(E)</t>
  </si>
  <si>
    <t>2019-41141-142</t>
  </si>
  <si>
    <t>Acculturation; Mental Disorders; Stress; Adulthood (18 yrs &amp; older)</t>
  </si>
  <si>
    <t>Background: Latinos are the largest foreign-born group and one of the fastest growing minority groups in the United States. As such, they will increasingly contribute to the burden of mental and behavioral disorders. Acculturation and other related experiences are associated with the development of mental disorder in US-residing Latinos, however most studies treat Latinos as a homogeneous group. This obscures meaningful between-group differences and hinders the elucidation of potential mechanisms contributing to the association between acculturation and mental health outcomes. Further, despite its importance, acculturation has been measured insufficiently and inconsistently. This is especially problematic due to the complex nature of these constructs. To understand the mechanism by which acculturation impacts mental health, novel methods are needed. Latent variable methods are one such approach that has been recommended as a way to capture nuance of complex constructs such as acculturation. Methods: Data come from the National Latino and Asian American Study, a nationally-representative, cross-sectional survey of 2,554 Latinos in the United States. Results: The six scales of acculturation (English and Spanish language preference and proficiency, ethnic identity) and related experiences (discrimination, acculturative stress, neighborhood context, family context) had good construct validity. No scales achieved full measurement invariance, but some scales were more variant across subgroups than others. Four latent classes of Latinos' acculturative experiences emerged: Positive Experiences (n=1,743, 69%), Cohesive-Conflict (n=424, 17%), Marginalized Conflict (n=237, 9%), and Marginalized (n=137, 5%). These classes were highly associated with all three categories of DSM-IV disorder: depressive, anxiety, and substance use disorders after adjusting for sociodemographic characteristics, subethnicity and generational status. The Positive Experiences class had the lowest lifetime prevalence of all three disorders (14.8%, 13.6% and 7.1%, respectively). The class associated with the highest disorder prevalence (34.0%, 26.6%, and 22.5%, respectively) was those Latinos with a Marginalized Conflict experience. After accounting for acculturative experiences, direct associations between subethnicity and generational status and disorder varied. There were no significant direct effects between subethnicity and substance use disorder prevalence, but a strong dose-response relationship of generational status. Conversely, subethnicity was directly related to depressive and anxiety disorder prevalence, but generational status was not. Conclusions: Acculturation and other experiences related to immigrant and minority status in the US are complex constructs and should be treated as such. Latent variable methods help account for measurement variance by subgroup and the unobserved nature of the constructs. Latinos have varied acculturative experiences in the US, which are highly personal and not fully accounted for by observed characteristics such as country of origin. (PsycINFO Database Record (c) 2019 APA, all rights reserved)</t>
  </si>
  <si>
    <t>http://search.ebscohost.com.proxy-ub.rug.nl/login.aspx?direct=true&amp;db=psyh&amp;AN=2019-41141-142&amp;site=ehost-live&amp;scope=site</t>
  </si>
  <si>
    <t>Learning to fit in: An exploratory study of general perceived self efficacy in selected refugee groups.</t>
  </si>
  <si>
    <t>Sulaiman-Hill, Cheryl M. R.; Thompson, Sandra C.</t>
  </si>
  <si>
    <t>2013-01294-016</t>
  </si>
  <si>
    <t>10.1007/s10903-011-9547-5</t>
  </si>
  <si>
    <t>Mental Health; Refugees; Self-Efficacy; Adulthood (18 yrs &amp; older); Male; Female</t>
  </si>
  <si>
    <t>As self efficacy beliefs help determine an individual’s response to challenging situations, we explored the impact of the refugee experience on efficacy beliefs and their contribution to resettlement. General self efficacy (GSE) was assessed in 186 resettled Afghan and Kurdish refugees against a range of personal and temporal variables. Although no differences in GSE in relation to temporal factors were noted, significant relationships between self efficacy, lower psychological distress and higher subjective well being were evident. The findings suggest that GSE, because of its positive association with mental health and well being, is a variable worthy of further examination in refugees. In addition to ensuring a supportive environment for learning English, proactive employment strategies should be encouraged. Further research examining the use of successful refugee role models to promote self efficacy, enhance motivation for learning and ensure newly arrived refugees view resettlement as a challenge, rather than a threat, is recommended. (PsycINFO Database Record (c) 2016 APA, all rights reserved)</t>
  </si>
  <si>
    <t>http://search.ebscohost.com.proxy-ub.rug.nl/login.aspx?direct=true&amp;db=psyh&amp;AN=2013-01294-016&amp;site=ehost-live&amp;scope=site</t>
  </si>
  <si>
    <t>Life Themes in the Narratives of Young Chinese Immigrants who have Successfully Adjusted to Life in Hong Kong.</t>
  </si>
  <si>
    <t>Lam, M. C.; Chan, T. S.</t>
  </si>
  <si>
    <t>2005-00844-004</t>
  </si>
  <si>
    <t>10.1080/1367626042000315211</t>
  </si>
  <si>
    <t>Acculturation; Family Reunification; Family; Immigration; Social Adjustment; Childhood (birth-12 yrs); School Age (6-12 yrs); Adolescence (13-17 yrs); Adulthood (18 yrs &amp; older); Young Adulthood (18-29 yrs); Male; Female</t>
  </si>
  <si>
    <t>This paper is based on the narratives of two groups of young Chinese immigrants who have come to Hong Kong for family reunification and who have apparently adjusted well to their new environment. It is argued that the values, beliefs, and ultimate concerns of these young immigrants have been the underlying forces behind their efforts in adjusting to the challenges in a strange land. Of particular importance are contentment and gratitude, a strong family concept, 'face', an urge for knowledge, a sense of crisis, faith in life, and the identity of a marginal man. These themes reflect the importance of cultural values in shaping migration behaviors. The differences found between the two groups also point to the need to understand migration experience in the context of the developmental stage as well as the social, economic and political situations at the time of migration. (PsycINFO Database Record (c) 2016 APA, all rights reserved)</t>
  </si>
  <si>
    <t>http://search.ebscohost.com.proxy-ub.rug.nl/login.aspx?direct=true&amp;db=psyh&amp;AN=2005-00844-004&amp;site=ehost-live&amp;scope=site</t>
  </si>
  <si>
    <t>Lifestyle behaviors predict negative and positive changes in self-reported health: The role of immigration to the United States for Koreans.</t>
  </si>
  <si>
    <t>Baron-Epel, Orna; Hofstetter, C. Richard; Irvin, Veronica L.; Kang, Sunny; Hovell, Melbourne F.</t>
  </si>
  <si>
    <t>2015-43618-010</t>
  </si>
  <si>
    <t>10.1177/1010539515601481</t>
  </si>
  <si>
    <t>Food Intake; Health Behavior; Immigration; Lifestyle; Korean Cultural Groups; Physical Activity; Self-Report; Tobacco Smoking; Adulthood (18 yrs &amp; older)</t>
  </si>
  <si>
    <t>Studies of changes in health following immigration are inconsistent, and few are based on longitudinal designs to test associations based on change. This study identified factors that predicted changes in self-reported health (SRH) among California residents of Korean descent. A sample of California residents of Korean descent were interviewed and followed-up 2 or 3 times by telephone during 2001-2009. The questionnaires dealt with SRH, lifestyle behaviors (smoking, physical activity, and fast food consumption), and socioeconomic measures. Statistical analysis included random-intercepts longitudinal regression models predicting change in SRH. A similar percentage of respondents reported improved and deteriorating SRH (30.3% and 29.1%, respectively). Smoking, consumption of fast foods, age, percentage of life spent in the United States, and being female were predictors of deteriorating SRH, whereas physical activity, education, and living with a partner were predictive of improvement in SRH. The effect of immigration on SRH is influenced by socioeconomic factors and lifestyle practices. Results support promotion of healthy lifestyle practices among immigrants. (PsycINFO Database Record (c) 2016 APA, all rights reserved)</t>
  </si>
  <si>
    <t>http://search.ebscohost.com.proxy-ub.rug.nl/login.aspx?direct=true&amp;db=psyh&amp;AN=2015-43618-010&amp;site=ehost-live&amp;scope=site</t>
  </si>
  <si>
    <t>'Like a Bird in a Cage': Vietnamese Women Survivors Talk About Domestic Violence.</t>
  </si>
  <si>
    <t>Shiu-Thornton, Sharyne; Senturia, Kirsten; Sullivan, Marianne</t>
  </si>
  <si>
    <t>2005-07327-005</t>
  </si>
  <si>
    <t>10.1177/0886260505277677</t>
  </si>
  <si>
    <t>Domestic Violence; Immigration; Refugees; Southeast Asian Cultural Groups; Survivors; Adulthood (18 yrs &amp; older); Young Adulthood (18-29 yrs); Thirties (30-39 yrs); Middle Age (40-64 yrs); Aged (65 yrs &amp; older); Female</t>
  </si>
  <si>
    <t>In recent years, a growing literature has emerged that explores the role of culture in domestic violence for ethnic minority populations, including immigrants and refugees. This article presents qualitative data collected from Vietnamese refugee women through a research project in partnership with the Refugee Women's Alliance in Seattle, Washington. Through the women's stories, their own self-awareness of domestic violence as Vietnamese women residing in the United States is available for reflection and review. Issues of acculturation, changing gender roles, examples of strength, and cultural persistence constitute the thematic structure within which these women articulate their needs for creating and sustaining a life free of abuse for themselves and their children. (PsycINFO Database Record (c) 2016 APA, all rights reserved)</t>
  </si>
  <si>
    <t>http://search.ebscohost.com.proxy-ub.rug.nl/login.aspx?direct=true&amp;db=psyh&amp;AN=2005-07327-005&amp;site=ehost-live&amp;scope=site</t>
  </si>
  <si>
    <t>Limited English proficiency and socioemotional well-being among Asian and Hispanic children from immigrant families.</t>
  </si>
  <si>
    <t>Kang, Hannah S.; Haddad, Eileen; Chen, Chuansheng; Greenberger, Ellen</t>
  </si>
  <si>
    <t>Early Education and Development</t>
  </si>
  <si>
    <t>2014-21015-007</t>
  </si>
  <si>
    <t>10.1080/10409289.2014.883664</t>
  </si>
  <si>
    <t>Asians; Immigration; Language Proficiency; Well Being; Latinos/Latinas; Childhood Development; Emotions; Childhood (birth-12 yrs); Preschool Age (2-5 yrs); Male; Female</t>
  </si>
  <si>
    <t>Research Findings: Previous research has suggested that children from immigrant families face multiple stressors associated with acculturation. One component of acculturation that has not been widely explored in relation to children’s socioemotional development is limited English proficiency (LEP). Given that English is the main language used in American schools, it is important to understand how LEP can affect the socioemotional development of children from immigrant families whose 1st language is not English. This study explores the effects of LEP on the socioemotional development of 5,268 Hispanic and 2,088 Asian American children from the Early Childhood Longitudinal Study data set (first 3 waves of data). Results from generalized estimating equation analyses revealed significant interactions between ethnicity and language status. English-proficient Asian American children fared better than Hispanic children, but Asian American children with LEP lagged behind their Hispanic counterparts in their approaches to learning, self-control, and interpersonal skills at the beginning of kindergarten. These ethnic differences disappeared by the end of 1st grade. Practice or Policy: Our findings suggest that language-related challenges among minority children may be more consequential for young Asian American children, who would benefit from additional efforts to help them attain proficiency in English. (PsycINFO Database Record (c) 2016 APA, all rights reserved)</t>
  </si>
  <si>
    <t>http://search.ebscohost.com.proxy-ub.rug.nl/login.aspx?direct=true&amp;db=psyh&amp;AN=2014-21015-007&amp;site=ehost-live&amp;scope=site</t>
  </si>
  <si>
    <t>Linguistic acculturation and context on self-esteem: Hispanic youth between cultures.</t>
  </si>
  <si>
    <t>Perez, Rose M.</t>
  </si>
  <si>
    <t>2011-09640-003</t>
  </si>
  <si>
    <t>10.1007/s10560-011-0228-y</t>
  </si>
  <si>
    <t>Acculturation; Adolescent Development; Linguistics; Self-Esteem; Latinos/Latinas; Immigration; Adulthood (18 yrs &amp; older); Male; Female</t>
  </si>
  <si>
    <t>Immigrant adolescents must negotiate two cultures: the host culture and their native culture. This study explored how self-esteem is moderated by the effect of linguistic acculturation and context. An ordinary least-squares regression model, controlling for fixed effects, produced results supporting the hypothesis that linguistic acculturation moderates the effect of context on self-esteem. The self-esteem of Hispanic adolescents who were less linguistically acculturated was found to be more favorable when with family than with friends and the reverse was found for the more linguistically acculturated participants. Adolescents in the middle of the linguistic acculturation process had the widest variance in self-esteem between times they were with their families and times in other contexts; they experienced more positive self-esteem with anyone but family. Findings underscore the need to better understand the complex process of linguistic acculturation and its effects on self-esteem. This research also demonstrates the practical utility of a fixed-effects model for reducing bias in cross-cultural research. (PsycINFO Database Record (c) 2016 APA, all rights reserved)</t>
  </si>
  <si>
    <t>http://search.ebscohost.com.proxy-ub.rug.nl/login.aspx?direct=true&amp;db=psyh&amp;AN=2011-09640-003&amp;site=ehost-live&amp;scope=site</t>
  </si>
  <si>
    <t>Linguistic barriers in the destination language acquisition of immigrants.</t>
  </si>
  <si>
    <t>Isphording, Ingo E.; Otten, Sebastian</t>
  </si>
  <si>
    <t>Journal of Economic Behavior &amp; Organization</t>
  </si>
  <si>
    <t>2014-27558-003</t>
  </si>
  <si>
    <t>10.1016/j.jebo.2014.03.027</t>
  </si>
  <si>
    <t>Ability; Immigration; Language; Linguistics; Communication Barriers; Human Capital; Adolescence (13-17 yrs); Adulthood (18 yrs &amp; older); Young Adulthood (18-29 yrs); Thirties (30-39 yrs); Middle Age (40-64 yrs); Aged (65 yrs &amp; older); Male; Female</t>
  </si>
  <si>
    <t>There are various degrees of similarity between the languages of different immigrants and the language of their destination country. This linguistic distance is an obstacle to the acquisition of a language, which leads to large differences in the attainments of the language skills necessary for economic and social integration in the destination country. This study aims at quantifying the influence of linguistic distance on the language acquisition of immigrants in the US and in Germany. Drawing from comparative linguistics, we derive a measure of linguistic distance based on the automatic comparison of pronunciations. We compare this measure with three other linguistic and non-linguistic approaches in explaining self-reported measures of language skills. We show that there is a strong initial disadvantage from the linguistic origin for language acquisition, while the effect on the steepness of assimilation patterns is ambiguous in Germany and the US. (PsycInfo Database Record (c) 2020 APA, all rights reserved)</t>
  </si>
  <si>
    <t>http://search.ebscohost.com.proxy-ub.rug.nl/login.aspx?direct=true&amp;db=psyh&amp;AN=2014-27558-003&amp;site=ehost-live&amp;scope=site</t>
  </si>
  <si>
    <t>Linguistic integration and immigrant health: The longitudinal effects of interethnic social capital.</t>
  </si>
  <si>
    <t>Tegegne, Mesay A.</t>
  </si>
  <si>
    <t>2018-26003-005</t>
  </si>
  <si>
    <t>10.1177/0022146518757198</t>
  </si>
  <si>
    <t>Acculturation; Bilingualism; Health; Immigration; Social Capital; Social Networks; Adulthood (18 yrs &amp; older); Male; Female</t>
  </si>
  <si>
    <t>The literature on immigrant health has by and large focused on the relationship between acculturation (often measured by a shift in language use) and health outcomes, paying less attention to network processes and the implications of interethnic integration for long-term health. This study frames English-language use among immigrants in the United States as a reflection of bridging social capital that is indicative of social network diversity. Using longitudinal data on self-rated health and the incidence of chronic conditions from the New Immigrant Survey (2003, 2007), I examine the contemporaneous and longitudinal associations between interethnic social capital and health. The results show evidence for a positive long-term effect of linguistic integration on health status, but no cross-sectional associations were observed. Overall, these results highlight the possible role of network processes in linking English-language use with immigrant health and the time-dependent nature of the relationship between linguistic integration and health status. (PsycINFO Database Record (c) 2018 APA, all rights reserved)</t>
  </si>
  <si>
    <t>http://search.ebscohost.com.proxy-ub.rug.nl/login.aspx?direct=true&amp;db=psyh&amp;AN=2018-26003-005&amp;site=ehost-live&amp;scope=site</t>
  </si>
  <si>
    <t>Links between local language competence and peer relations among Swiss and immigrant children: The mediating role of social behavior.</t>
  </si>
  <si>
    <t>von Grünigen, Renate; Kochenderfer-Ladd, Becky; Perren, Sonja; Alsaker, Françoise D.</t>
  </si>
  <si>
    <t>Journal of School Psychology</t>
  </si>
  <si>
    <t>2012-06088-004</t>
  </si>
  <si>
    <t>10.1016/j.jsp.2011.09.005</t>
  </si>
  <si>
    <t>Immigration; Language Proficiency; Peer Relations; Social Acceptance; Victimization; Childhood (birth-12 yrs); Preschool Age (2-5 yrs); School Age (6-12 yrs); Male; Female</t>
  </si>
  <si>
    <t>The primary aim of this investigation was to evaluate a model in which children's social behaviors, including prosocial behavior, setting limits, and social withdrawal, were hypothesized to mediate the links between local language competence (LLC) and peer acceptance and victimization. Longitudinal data were collected via teacher and peer reports on 541 (286 boys and 255 girls) immigrant and Swiss native 5-to-6 year-old kindergarteners. Results showed the immigrant children were less fluent in the local language compared to native Swiss classmates. Moreover, results from structural equation models, with bootstrap tests of indirect effects, indicated that social behaviors mediated the link between LLC and the quality of children's peer relationships. Implications of these findings for school professionals are discussed, such as the need to help immigrant children make a smoother transition to their host communities by providing additional language and social supports while children acculturate and acclimate to their new surroundings and peer group. (PsycINFO Database Record (c) 2016 APA, all rights reserved)</t>
  </si>
  <si>
    <t>http://search.ebscohost.com.proxy-ub.rug.nl/login.aspx?direct=true&amp;db=psyh&amp;AN=2012-06088-004&amp;site=ehost-live&amp;scope=site</t>
  </si>
  <si>
    <t>Listening to immigrant Latino men in rural Oregon: Exploring connections between culture and sexual and reproductive health services.</t>
  </si>
  <si>
    <t>Harvey, S. Marie; Branch, Meredith R.; Hudson, Deanne; Torres, Antonio</t>
  </si>
  <si>
    <t>2013-05286-008</t>
  </si>
  <si>
    <t>10.1177/1557988312463600</t>
  </si>
  <si>
    <t>Health Care Services; Human Males; Immigration; Reproductive Health; Latinos/Latinas; Health Knowledge; Risk Factors; Adulthood (18 yrs &amp; older); Young Adulthood (18-29 yrs); Thirties (30-39 yrs); Male</t>
  </si>
  <si>
    <t>This study explored factors that affect access to and use of sexual and reproductive health services including family planning among immigrant Latino men residing in rural Oregon communities that have experienced a high growth in their Latino population. In-depth interviews were conducted with 49 sexually active men aged 18 to 30 years who recently immigrated to the United States. Findings from content analysis identified multiple overlapping individual-level barriers, including lack of knowledge, perception of personal risk for unintended pregnancy and STIs, and fear of disease. On a service delivery level, structural factors and the importance of confianza when interacting with providers and clinic staff were dominant themes. The majority of these themes were grounded in a cultural context and linked to men’s cultural background, beliefs, and experiences. Examining the needs of immigrant Latino men through this cultural lens may be critically important for improving access and use of sexual and reproductive health services. (PsycINFO Database Record (c) 2016 APA, all rights reserved)</t>
  </si>
  <si>
    <t>http://search.ebscohost.com.proxy-ub.rug.nl/login.aspx?direct=true&amp;db=psyh&amp;AN=2013-05286-008&amp;site=ehost-live&amp;scope=site</t>
  </si>
  <si>
    <t>Living in a different world: Acculturative stress among Korean American elders.</t>
  </si>
  <si>
    <t>Jang, Yuri; Chiriboga, David A.</t>
  </si>
  <si>
    <t>The Journals of Gerontology: Series B: Psychological Sciences and Social Sciences</t>
  </si>
  <si>
    <t>65B</t>
  </si>
  <si>
    <t>2010-00608-003</t>
  </si>
  <si>
    <t>10.1093/geronb/gbp019</t>
  </si>
  <si>
    <t>Acculturation; Distress; Gerontology; Mental Health; Stress; Korean Cultural Groups; Adulthood (18 yrs &amp; older); Aged (65 yrs &amp; older); Male; Female</t>
  </si>
  <si>
    <t>Using a sample of Korean American elders, this study examined internal mechanisms by which the level of acculturation influences mental health outcomes. We hypothesized that the impact of five domains of acculturation on mental distress (depressive symptoms and anxiety) would be mediated by individuals' subjectively appraised acculturative stress. The latter was indexed by measures of task-oriented and emotion-oriented stress. The results from structural equation modeling with 472 Korean American elders in Florida (M age=69.9, SD=7.04) provided support for the mediation model. Findings demonstrate that acculturation exerts an influence on mental health and that acculturative stress functions as a mediator in the linkage between the level of acculturation and mental distress. Findings suggest avenues for facilitating immigrant elders' positive adaptation and promoting their mental well-being (PsycInfo Database Record (c) 2020 APA, all rights reserved)</t>
  </si>
  <si>
    <t>http://search.ebscohost.com.proxy-ub.rug.nl/login.aspx?direct=true&amp;db=psyh&amp;AN=2010-00608-003&amp;site=ehost-live&amp;scope=site</t>
  </si>
  <si>
    <t>Living 'In-between'--Vietnamese Canadian Women's Experiences: Implications for Health Care Practice.</t>
  </si>
  <si>
    <t>Donnelly, Tam Truong</t>
  </si>
  <si>
    <t>2006-11135-003</t>
  </si>
  <si>
    <t>10.1080/07399330600817725</t>
  </si>
  <si>
    <t>Acculturation; Immigration; Life Experiences; Multiculturalism; Health Care Delivery; Health Care Services; South Asian Cultural Groups; Adulthood (18 yrs &amp; older); Middle Age (40-64 yrs); Aged (65 yrs &amp; older); Female</t>
  </si>
  <si>
    <t>Intercultural living--a living that dwells 'in-between' spaces of cultures--how it is conceptualized and what its lived experiences might mean, can give the direction for how we ought to care for one another. Drawing from my research with Vietnamese Canadian women, I argue that many immigrant women live and practice health care in 'in-between' spaces, spaces that belong neither to East nor to West. Thus, supporting immigrant women's health care practices requires the removal of social ideologies that set apart the West and the 'Other.' To provide equal and quality health care, caring should occur within in-between spaces, spaces that belong to both those who provide and those who receive health care services. (PsycINFO Database Record (c) 2016 APA, all rights reserved)</t>
  </si>
  <si>
    <t>http://search.ebscohost.com.proxy-ub.rug.nl/login.aspx?direct=true&amp;db=psyh&amp;AN=2006-11135-003&amp;site=ehost-live&amp;scope=site</t>
  </si>
  <si>
    <t>Living with others: Mapping the routes to acculturation in a multicultural society.</t>
  </si>
  <si>
    <t>2007-15360-010</t>
  </si>
  <si>
    <t>10.1016/j.ijintrel.2007.08.003</t>
  </si>
  <si>
    <t>Acculturation; Immigration; Society; Multiculturalism; Adulthood (18 yrs &amp; older); Young Adulthood (18-29 yrs); Thirties (30-39 yrs); Middle Age (40-64 yrs); Male; Female</t>
  </si>
  <si>
    <t>This study investigated attitudes towards multiculturalism and their influence on acculturation strategies of both Anglo-Australians and Asian immigrants residing in the city of Brisbane, the third largest city of Australia. Data was obtained via a survey administered to 133 Asian immigrants and 108 Anglo-Australians, a total of 241 respondents. Results revealed discordance in attitudes towards multiculturalism between Asians and Australians, with Asians rating it higher as a benefit and lower as a threat as compared to Australians. While higher ratings on multiculturalism as a threat tended to be positively related to separation strategy, this linear association did not hold true for the minority group (Asians). For Asian respondents, those who perceived a moderate threat in multiculturalism were more likely supporters for separation. Our findings supported the assumption that multiculturalism is viewed as differentially beneficial for minority and majority groups. (PsycINFO Database Record (c) 2016 APA, all rights reserved)</t>
  </si>
  <si>
    <t>http://search.ebscohost.com.proxy-ub.rug.nl/login.aspx?direct=true&amp;db=psyh&amp;AN=2007-15360-010&amp;site=ehost-live&amp;scope=site</t>
  </si>
  <si>
    <t>Local news media cultivation of host receptivity in plainstown.</t>
  </si>
  <si>
    <t>McKay‐Semmler, Kelly; Semmler, Shane M.; Kim, Young Yun</t>
  </si>
  <si>
    <t>Human Communication Research</t>
  </si>
  <si>
    <t>2014-09902-003</t>
  </si>
  <si>
    <t>10.1111/hcre.12024</t>
  </si>
  <si>
    <t>Attitude Formation; Community Attitudes; Immigration; Messages; News Media; Newspapers; Openness to Experience; Social Acceptance; Television; Adulthood (18 yrs &amp; older); Young Adulthood (18-29 yrs); Thirties (30-39 yrs); Middle Age (40-64 yrs); Aged (65 yrs &amp; older); Very Old (85 yrs &amp; older); Male; Female</t>
  </si>
  <si>
    <t>This message‐system and cultivation analysis investigated the influence of local news on the host receptivity of native‐born 'Plainstown' residents toward immigrants. The message‐system analysis revealed that regional television and newspaper immigration coverage was more pessimistic, while local newspaper immigration coverage was more optimistic. A cultivation analysis confirmed that attention to pessimistic coverage interacted with conversations about immigration to reduce host receptivity. This research contributes to the study of cross‐cultural adaptation by constructing and validating a measure of Y. Y. Kim's (2001) concept of host receptivity. By demonstrating that second‐order cultivation is the product of on‐line cognitive processes, this research provided additional validation of Shrum's (2004) online model of second‐order cultivation. Findings suggest that optimistic immigration news frames may facilitate host receptivity. (PsycINFO Database Record (c) 2018 APA, all rights reserved)</t>
  </si>
  <si>
    <t>http://search.ebscohost.com.proxy-ub.rug.nl/login.aspx?direct=true&amp;db=psyh&amp;AN=2014-09902-003&amp;site=ehost-live&amp;scope=site</t>
  </si>
  <si>
    <t>Locus of Control and HIV Risk Among a Sample of Mexican and Puerto Rican Women.</t>
  </si>
  <si>
    <t>Loue, Sana; Cooper, Marlene; Traore, Fatoumata; Fiedler, Jay</t>
  </si>
  <si>
    <t>2004-20061-002</t>
  </si>
  <si>
    <t>10.1023/B:JOIH.0000045253.19409.02</t>
  </si>
  <si>
    <t>At Risk Populations; HIV; Internal External Locus of Control; Sexual Risk Taking; Latinos/Latinas; AIDS; Human Females; Adulthood (18 yrs &amp; older); Young Adulthood (18-29 yrs); Thirties (30-39 yrs); Middle Age (40-64 yrs); Female</t>
  </si>
  <si>
    <t>The disproportionate impact of HIV/AIDS on Hispanic women in the United States has been variously attributed to a failure to utilize protective measures due to low levels of HIV knowledge, a denial or minimization of risk, and conflicts with cultural norms. It has been hypothesized that women's relative lack of power in relationships may be associated with higher risk sexual behavior. We examined the relationship between higher risk sexual behavior and perceived locus of control in sexual relationships among a sample of Puerto Rican and Mexican women. We interviewed 71 women of self-reported Mexican ethnicity in San Diego, California, and 79 women of self-reported Puerto Rican ethnicity in Cleveland, Ohio, to examine the relationship between HIV risk, HIV knowledge, and locus of control. Univariate logistic regression indicates that among Puerto Rican women, the perception that locus of control in a sexual relationship resides in the male partner was significantly associated with increased HIV risk, while younger age was significantly associated with increased risk among Mexican women only. In a combined sample of both Puerto Rican and Mexican women, multiple logistic regression analysis indicates that younger age, increased length of residence in the United States, and an other-focused locus of control are significantly associated with increased HIV risk. Women who have been in the United States for relatively longer periods of time may be more likely to integrate U.S. sexual norms into their own behavior and may, as a consequence, be at higher risk of HIV infection. Increased HIV prevention efforts must be made available to Mexican and Puerto Rican women born outside of the United States. These prevention efforts must necessarily focus not only on HIV prevention strategies, but also on the dynamics within male-female intimate relations. Increased attention to younger Puerto Rican and Mexican women is also needed. (PsycINFO Database Record (c) 2016 APA, all rights reserved)</t>
  </si>
  <si>
    <t>http://search.ebscohost.com.proxy-ub.rug.nl/login.aspx?direct=true&amp;db=psyh&amp;AN=2004-20061-002&amp;site=ehost-live&amp;scope=site</t>
  </si>
  <si>
    <t>Loneliness among Venezuelan migrants living in Portugal.</t>
  </si>
  <si>
    <t>Guédez, Ana Gabriela; Neto, Félix</t>
  </si>
  <si>
    <t>2015-27971-011</t>
  </si>
  <si>
    <t>Human Migration; Loneliness; Racial and Ethnic Groups; Stereotyped Attitudes; Adulthood (18 yrs &amp; older); Young Adulthood (18-29 yrs); Thirties (30-39 yrs); Middle Age (40-64 yrs); Aged (65 yrs &amp; older); Male; Female</t>
  </si>
  <si>
    <t>The aim of this investigation was to analyze the loneliness in a sample of 130 Venezuelan migrants (Mean age = 38.99, SD = 13.54) living in Portugal. In the theoretical framework were approached some of the Venezuelan's characteristics, not pretending to create a stereotype; contrarily, it was aimed to help therapists and researchers to better understand this ethnic group, given that the Venezuelan emigration seems to be increasing its pace. Subsequently, it was analysed the relationship between the loneliness and four other variables: the satisfaction with life, the ethnic identity, the perceived discrimination and the mental health. Indeed, loneliness showed a significant relationship with all of these variables. Finally, a brief discussion of the obtained results and some studies that supported the final product of this investigation were presented. (PsycInfo Database Record (c) 2020 APA, all rights reserved)</t>
  </si>
  <si>
    <t>http://search.ebscohost.com.proxy-ub.rug.nl/login.aspx?direct=true&amp;db=psyh&amp;AN=2015-27971-011&amp;site=ehost-live&amp;scope=site</t>
  </si>
  <si>
    <t>Longing to belong: Social inclusion and wellbeing among youth with refugee backgrounds in the first three years in Melbourne, Australia.</t>
  </si>
  <si>
    <t>Correa-Velez, Ignacio; Gifford, Sandra M.; Barnett, Adrian G.</t>
  </si>
  <si>
    <t>2010-19631-006</t>
  </si>
  <si>
    <t>10.1016/j.socscimed.2010.07.018</t>
  </si>
  <si>
    <t>Psychosocial Factors; Refugees; Social Integration; Well Being; Social Inclusion; Communities; Belonging; Childhood (birth-12 yrs); School Age (6-12 yrs); Adolescence (13-17 yrs); Adulthood (18 yrs &amp; older); Young Adulthood (18-29 yrs); Male; Female</t>
  </si>
  <si>
    <t>For young people with refugee backgrounds, establishing a sense of belonging to their family and community, and to their country of resettlement is essential for wellbeing. This paper describes the psychosocial factors associated with subjective health and wellbeing outcomes among a cohort of 97 refugee youth (aged 11-19) during their first three years in Melbourne, Australia. The findings reported here are drawn from the Good Starts Study, a longitudinal investigation of settlement and wellbeing among refugee youth conducted between 2004 and 2008. The overall aim of Good Starts was to identify the psychosocial factors that assist youth with refugee backgrounds in making a good start in their new country. A particular focus was on key transitions: from pre-arrival to Australia, from the language school to mainstream school, and from mainstream school to higher education or to the workforce. Good Starts used a mix of both method and theory from anthropology and social epidemiology. Using standardized measures of wellbeing and generalised estimating equations to model the predictors of wellbeing over time, this paper reports that key factors strongly associated with wellbeing outcomes are those that can be described as indicators of belonging—the most important being subjective social status in the broader Australian community, perceived discrimination and bullying. We argue that settlement specific policies and programs can ultimately be effective if embedded within a broader socially inclusive society—one that offers real opportunities for youth with refugee backgrounds to flourish. (PsycInfo Database Record (c) 2020 APA, all rights reserved)</t>
  </si>
  <si>
    <t>http://search.ebscohost.com.proxy-ub.rug.nl/login.aspx?direct=true&amp;db=psyh&amp;AN=2010-19631-006&amp;site=ehost-live&amp;scope=site</t>
  </si>
  <si>
    <t>Longitudinal associations between marianismo beliefs and acculturative stress among Latina immigrants during initial years in the United States.</t>
  </si>
  <si>
    <t>Ertl, Melissa M.; Rentería, Roberto; Dillon, Frank R.; Babino, Rosa; De La Rosa, Mario; Brenner, Rachel E.</t>
  </si>
  <si>
    <t>2019-33047-001</t>
  </si>
  <si>
    <t>10.1037/cou0000361</t>
  </si>
  <si>
    <t>Acculturation; Family; Immigration; Stress; Latinos/Latinas; Emotions; Responsibility; Sex Roles; Adulthood (18 yrs &amp; older); Young Adulthood (18-29 yrs); Female</t>
  </si>
  <si>
    <t>Acculturative stress is commonly experienced among Latinx immigrants in the United States who may feel pressured to maintain their heritage cultural norms and beliefs and/or adopt norms and beliefs of the dominant culture. The present study examined longitudinal relations between acculturative stress and endorsement of traditional Latina gender role beliefs (i.e., marianismo). We determined strength of the relations and temporal precedence of acculturative stress and endorsement of marianismo across 3 time points during participants’ initial 3 years in the United States using a random intercept cross-lagged panel model. Participants were 530 Latina young adult women (ages 18–23) recruited from Miami-Dade County, Florida. Results suggested that acculturative stress levels at Time 1 positively predicted endorsement of the Family Pillar belief at Time 2, but acculturative stress levels at Time 2 negatively predicted the Virtuous and Chaste and Subordinate to Others beliefs at Time 3. In terms of marianismo beliefs predicting acculturative stress levels over time, the Virtuous and Chaste belief at Time 1 positively predicted acculturative stress at Time 2, and the Silencing Self to Maintain Harmony belief at Time 2 positively predicted acculturative stress at Time 3. Findings suggest that the Family Pillar belief, or feeling responsibility for the family’s unity, may be protective against acculturative stress over time. Endorsing certain gender role beliefs (i.e., Virtuous and Chaste, Subordinate to Others) may lead to greater acculturative stress, and Latina young adult women experiencing acculturative stress may alter their endorsement of marianismo beliefs in an attempt to resolve culturally conflicting stress experienced after immigration. (PsycINFO Database Record (c) 2019 APA, all rights reserved)</t>
  </si>
  <si>
    <t>http://search.ebscohost.com.proxy-ub.rug.nl/login.aspx?direct=true&amp;db=psyh&amp;AN=2019-33047-001&amp;site=ehost-live&amp;scope=site</t>
  </si>
  <si>
    <t>Longitudinal dating violence victimization among Latino teens: Rates, risk factors, and cultural influences.</t>
  </si>
  <si>
    <t>Sabina, Chiara; Cuevas, Carlos A.; Cotignola-Pickens, Heather M.</t>
  </si>
  <si>
    <t>2016-09082-002</t>
  </si>
  <si>
    <t>10.1016/j.adolescence.2015.11.003</t>
  </si>
  <si>
    <t>Intimate Partner Violence; Social Dating; Victimization; Latinos/Latinas; Dating Violence; Acculturation; Adolescent Attitudes; Family Relations; Human Sex Differences; Immigration; Childhood (birth-12 yrs); School Age (6-12 yrs); Adolescence (13-17 yrs); Adulthood (18 yrs &amp; older); Young Adulthood (18-29 yrs); Male; Female</t>
  </si>
  <si>
    <t>This study uses data from two waves of the Dating Violence Among Latino Adolescents (DAVILA) study and focuses on the 1) rates of dating violence victimization by gender, 2) risk of experiencing dating violence victimization over time, 3) association of dating violence victimization with other forms of victimization, and 4) association of immigrant status, acculturation, and familial support with dating violence victimization over time. A total of 547 Latino adolescents, from across the USA, aged 12–18 at Wave 1 participated in both waves of the study. Rates of dating violence were around 19% across waves. Dating violence at Wave 1 and non-dating violence victimization were associated with an elevated risk of dating violence during Wave 2. Cultural factors did not distinguish between dating violence trajectories, except for immigrant status and familial support being associated with no dating violence victimization. Overall, dating violence affects a large number of Latino teens and tends to continue over time. (PsycINFO Database Record (c) 2019 APA, all rights reserved)</t>
  </si>
  <si>
    <t>http://search.ebscohost.com.proxy-ub.rug.nl/login.aspx?direct=true&amp;db=psyh&amp;AN=2016-09082-002&amp;site=ehost-live&amp;scope=site</t>
  </si>
  <si>
    <t>Longitudinal effects of acculturation and enculturation on mental health: Does the measure of matter?</t>
  </si>
  <si>
    <t>Meca, Alan; Schwartz, Seth J.; Martinez, Charles R. Jr.; McClure, Heather H.</t>
  </si>
  <si>
    <t>Development and Psychopathology</t>
  </si>
  <si>
    <t>2018-49818-001</t>
  </si>
  <si>
    <t>10.1017/S0954579418001165</t>
  </si>
  <si>
    <t>Acculturation; Attribution; Immigration; Mental Health; Longitudinal Studies; Childhood (birth-12 yrs); School Age (6-12 yrs); Adolescence (13-17 yrs); Male; Female</t>
  </si>
  <si>
    <t>[Correction Notice: An Erratum for this article was reported in Vol 31(4) of Development and Psychopathology (see record [rid]2019-52838-007[/rid]). The original publication of this article contained a typographical error in the article title. The article has since been corrected.] A great deal of research has focused on acculturation and enculturation, which represent the processes of adapting to a new culture. Despite this growing literature, results have produced inconsistent findings that may be attributable to differences in terms of the instruments used to assess acculturation and enculturation. Utilizing a 3-year longitudinal data set (with 1-year lags between assessments), the present study explored the psychometric properties of the Bicultural Involvement Questionnaire—Short Version (BIQ-S) and the Acculturation Rating Scale for Mexican Americans II (ARSMA-II) and examined the overlap between changes in these measures as they relate to internalizing and externalizing problem behavior. The present sample consisted of 216 immigrant Latino youth (43% boys; mean age 13.6 years at baseline; SD = 1.44 years, range 10 to 17). Exploratory structural equation modeling identified factor structures for the BIQ-S and ARSMA-II that diverged from their hypothesized structure. Growth curve models also indicate divergence between the BIQ-S and ARSMA-II in terms of change in acculturation and enculturation processes. Finally, the present findings emphasized that measures of acculturation and enculturation are not equivalent in terms of their effects on internalizing and externalizing problems. (PsycINFO Database Record (c) 2019 APA, all rights reserved)</t>
  </si>
  <si>
    <t>http://search.ebscohost.com.proxy-ub.rug.nl/login.aspx?direct=true&amp;db=psyh&amp;AN=2018-49818-001&amp;site=ehost-live&amp;scope=site</t>
  </si>
  <si>
    <t>Longitudinal effects of acculturation on alcohol use among Vietnamese and Cambodian immigrant women in the USA.</t>
  </si>
  <si>
    <t>Kane, Jeremy C.; Johnson, Renee M.; Robinson, Courtland; Jernigan, David H.; Harachi, Tracy W.; Bass, Judith K.</t>
  </si>
  <si>
    <t>Alcohol and Alcoholism</t>
  </si>
  <si>
    <t>2017-27114-011</t>
  </si>
  <si>
    <t>10.1093/alcalc/agw007</t>
  </si>
  <si>
    <t>Acculturation; Alcohol Drinking Patterns; Human Females; Immigration; Southeast Asian Cultural Groups; Alcoholism; Binge Drinking; Adulthood (18 yrs &amp; older); Female</t>
  </si>
  <si>
    <t>Aims: Recent studies indicate that alcohol use is increasing among Asian American populations and that acculturation impacts alcohol use among immigrants in the USA. We investigated the longitudinal relationship between three domains of acculturation (traditionalism, biculturalism, assimilation) and alcohol use among 302 Vietnamese and Cambodian women in Washington State. Methods: Data were obtained from the Cross Cultural Families Project (CCF), a 5-year longitudinal investigation of a random sample of Vietnamese and Cambodian immigrant families living in Washington State. Alcohol use was measured with a three item scale assessing frequency and quantity of use, and binge drinking. Acculturation was measured with the Suinn-Lew Asian Self-Identity Acculturation Scale. Linear mixed effects regression models were estimated to assess the impact of acculturation on alcohol use among the overall sample and among a sub-sample of only women who consumed any alcohol. Results: A majority of the sample, 73.2%, reported no alcohol use. In the overall sample, none of the three acculturation domains were significantly associated with drinking. Among a sub-sample of only those who reported any alcohol use, however, a greater degree of traditional cultural identification (β = −0.94, SE = 0.44, P = 0.03) and a greater degree of biculturalism (β = −1.33, SE = 0.53, P = 0.01) were associated with lower levels of use. Conclusions: Our findings suggest that acculturation did not impact alcohol use prevalence but that it did affect the drinking pattern among alcohol consumers. Clinicians should be cognizant that certain aspects of cultural identification are important contributors to drinking behavior among alcohol consumers in these populations. (PsycINFO Database Record (c) 2019 APA, all rights reserved)</t>
  </si>
  <si>
    <t>http://search.ebscohost.com.proxy-ub.rug.nl/login.aspx?direct=true&amp;db=psyh&amp;AN=2017-27114-011&amp;site=ehost-live&amp;scope=site</t>
  </si>
  <si>
    <t>Long-term depressive symptoms and acculturative stress issues among immigrants from the former Soviet Union.</t>
  </si>
  <si>
    <t>Baker, Cathy J.</t>
  </si>
  <si>
    <t>Journal of the American Psychiatric Nurses Association</t>
  </si>
  <si>
    <t>2016-45273-003</t>
  </si>
  <si>
    <t>10.1177/1078390316654209</t>
  </si>
  <si>
    <t>Acculturation; Immigration; Major Depression; Psychiatric Symptoms; Stress; Adulthood (18 yrs &amp; older); Young Adulthood (18-29 yrs); Thirties (30-39 yrs); Middle Age (40-64 yrs); Aged (65 yrs &amp; older); Very Old (85 yrs &amp; older); Male; Female</t>
  </si>
  <si>
    <t>Background: Previous studies regarding depressive symptoms and acculturative stress among immigrants have been limited to the initial period after immigration. Objective: The relationships between depressive symptoms, acculturation, and acculturative stress among immigrants from the former Soviet Union were examined in this descriptive study. Design: Eighty immigrants from the former Soviet Union who had immigrated within the past 20 years were recruited in various community locations. Results: Participants (N = 80), including recent and longer residing immigrants, reported elevated depressive symptoms and acculturative stress. Acculturative stress predicted depressive symptoms, controlling for dominant culture (American) immersion. However, length of time in the United States was not associated with depressive symptoms, ethnic culture immersion, or acculturative stress. Conclusions: Our results suggest that elevated depressive symptoms are related to acculturative stress but are not confined to the initial adjustment period. Steps to decrease acculturative stress might help decrease depressive symptoms in immigrants regardless of the number of years lived in the United States. (PsycINFO Database Record (c) 2017 APA, all rights reserved)</t>
  </si>
  <si>
    <t>http://search.ebscohost.com.proxy-ub.rug.nl/login.aspx?direct=true&amp;db=psyh&amp;AN=2016-45273-003&amp;site=ehost-live&amp;scope=site</t>
  </si>
  <si>
    <t>Long-term refugee health: Health behaviors and outcomes of Cambodian refugee and immigrant women.</t>
  </si>
  <si>
    <t>Nelson-Peterman, Jerusha L.; Toof, Robin; Liang, Sidney L.; Grigg-Saito, Dorcas C.</t>
  </si>
  <si>
    <t>Health Education &amp; Behavior</t>
  </si>
  <si>
    <t>2015-51188-013</t>
  </si>
  <si>
    <t>10.1177/1090198115590779</t>
  </si>
  <si>
    <t>Health Behavior; Human Females; Immigration; Refugees; Adulthood (18 yrs &amp; older); Thirties (30-39 yrs); Middle Age (40-64 yrs); Female</t>
  </si>
  <si>
    <t>Refugees in the United States have high rates of chronic disease. Both long-term effects of the refugee experience and adjustment to the U.S. health environment may contribute. While there is significant research on health outcomes of newly resettled refugees and long-term mental health experiences of established refugees, there is currently little information about how the combined effects of the refugee experience and the U.S. health environment are related to health practices of refugees in the years and decades after resettlement. We examined cross-sectional survey data for Cambodian refugee and immigrant women 35 to 60 years old (n = 160) from an established refugee community in Lowell, Massachusetts, to examine the potential contributors to health behaviors and outcomes among refugees and immigrants postresettlement. In our representative sample, we found that smoking and betel nut use were very low (4% each). Fewer than 50% of respondents walked for at least 10 minutes on 2 or more days/week. Using World Health Organization standards for overweight/obese for Asians, 73% of respondents were overweight/obese and 56% were obese, indicating increased risk of chronic disease. Depression was also high in this sample (41%). In multivariate models, higher acculturation and age were associated with walking more often; lower education and higher acculturation were related to higher weight; and being divorced/separated or widowed and being older were related to higher risk of depression. The interrelated complex of characteristics, health behaviors, and health outcomes of refugees merits a multifaceted approach to health education and health promotion for long-term refugee health. (PsycINFO Database Record (c) 2016 APA, all rights reserved)</t>
  </si>
  <si>
    <t>http://search.ebscohost.com.proxy-ub.rug.nl/login.aspx?direct=true&amp;db=psyh&amp;AN=2015-51188-013&amp;site=ehost-live&amp;scope=site</t>
  </si>
  <si>
    <t>'Loss and fear': Acculturation stresses leading to depression in South Asian Muslim immigrants in Toronto.</t>
  </si>
  <si>
    <t>Akram-Pall, Saadia; Moodley, Roy</t>
  </si>
  <si>
    <t>Canadian Journal of Counselling and Psychotherapy</t>
  </si>
  <si>
    <t>Supp 3</t>
  </si>
  <si>
    <t>S137</t>
  </si>
  <si>
    <t>2016-59182-009</t>
  </si>
  <si>
    <t>Canadian Counselling and Psychotherapy Association</t>
  </si>
  <si>
    <t>Acculturation; Fear; Immigration; Major Depression; Muslims; Childhood (birth-12 yrs); Preschool Age (2-5 yrs); School Age (6-12 yrs); Adolescence (13-17 yrs); Adulthood (18 yrs &amp; older); Young Adulthood (18-29 yrs); Thirties (30-39 yrs); Middle Age (40-64 yrs); Male; Female</t>
  </si>
  <si>
    <t>This article explores acculturation challenges and consequent depression among South Asian Muslim immigrants in Toronto. Thirteen immigrants were interviewed about their personal settlement and the challenges and conflicts that they experienced. The data were analyzed using a grounded theory approach. Two major themes emerged: loss and fear. Recommendations are made to inform mental health professionals who work with this population. Implications for mental health practices and future research are discussed. (PsycINFO Database Record (c) 2017 APA, all rights reserved)</t>
  </si>
  <si>
    <t>http://search.ebscohost.com.proxy-ub.rug.nl/login.aspx?direct=true&amp;db=psyh&amp;AN=2016-59182-009&amp;site=ehost-live&amp;scope=site</t>
  </si>
  <si>
    <t>Lost in acculturation? Premigratory exposure to democracy and immigrants’ political trust in the United States.</t>
  </si>
  <si>
    <t>Wals, Sergio C.; Rudolph, Thomas J.</t>
  </si>
  <si>
    <t>International Journal of Public Opinion Research</t>
  </si>
  <si>
    <t>2019-23353-004</t>
  </si>
  <si>
    <t>10.1093/ijpor/edy002</t>
  </si>
  <si>
    <t>Acculturation; Immigration; Politics; Trust (Social Behavior); Social Issues; Social Processes; Adulthood (18 yrs &amp; older); Male; Female</t>
  </si>
  <si>
    <t>Using data from the 2003 Mexican Values Survey and an innovative approach to capture premigration socialization, this article analyzes the impact of political experience before migration and its interaction with acculturation in shaping Latino immigrants’ attitudes toward government in the United States. Findings show that trust in government in the new host nation is shaped by individuals’ premigratory exposure to democracy during preadult socialization in their countries of origin. Immigrants who were socialized under more democratic regimes exhibit less trust in the national government than do their counterparts socialized under authoritarian systems. We also find a negative effect of acculturation on trust in all levels of government, an effect that is moderated by both premigratory exposure to democracy and by income. (PsycInfo Database Record (c) 2020 APA, all rights reserved)</t>
  </si>
  <si>
    <t>http://search.ebscohost.com.proxy-ub.rug.nl/login.aspx?direct=true&amp;db=psyh&amp;AN=2019-23353-004&amp;site=ehost-live&amp;scope=site</t>
  </si>
  <si>
    <t>Major depressive disorder and dysthymia at the intersection of nativity and racial–ethnic origins.</t>
  </si>
  <si>
    <t>Szaflarski, Magdalena; Cubbins, Lisa A.; Bauldry, Shawn; Meganathan, Karthikeyan; Klepinger, Daniel H.; Somoza, Eugene</t>
  </si>
  <si>
    <t>2016-29748-005</t>
  </si>
  <si>
    <t>10.1007/s10903-015-0293-y</t>
  </si>
  <si>
    <t>Dysthymic Disorder; Immigration; Major Depression; Racial and Ethnic Differences; Stress; Acculturation; Social Interaction; Adulthood (18 yrs &amp; older); Male; Female</t>
  </si>
  <si>
    <t>Immigrants often have lower rates of depression than US-natives, but longitudinal assessments across multiple racial–ethnic groups are limited. This study examined the rates of prevalent, acquired, and persisting major depression and dysthymia by nativity and racial–ethnic origin while considering levels of acculturation, stress, and social ties. Data from the National Epidemiologic Survey on Alcohol and Related Conditions were used to model prevalence and 3-year incidence/persistence of major depression and dysthymia (DSM-IV diagnoses) using logistic regression. Substantive factors were assessed using standardized measures. The rates of major depression were lower for most immigrants, but differences were noted by race–ethnicity and outcome. Furthermore, immigrants had higher prevalence but not incidence of dysthymia. The associations between substantive factors and outcomes were mixed. This study describes and begins to explain immigrant trajectories of major depression and dysthymia over a 3-year period. The continuing research challenges and future directions are discussed. (PsycINFO Database Record (c) 2016 APA, all rights reserved)</t>
  </si>
  <si>
    <t>http://search.ebscohost.com.proxy-ub.rug.nl/login.aspx?direct=true&amp;db=psyh&amp;AN=2016-29748-005&amp;site=ehost-live&amp;scope=site</t>
  </si>
  <si>
    <t>Majority–minority acculturation preferences concordance as an antecedent of attitudes towards immigrants: The mediating role of perceived symbolic threat and metastereotypes.</t>
  </si>
  <si>
    <t>Matera, Camilla; Stefanile, Cristina; Brown, Rupert</t>
  </si>
  <si>
    <t>2015-10026-010</t>
  </si>
  <si>
    <t>10.1016/j.ijintrel.2015.02.001</t>
  </si>
  <si>
    <t>Acculturation; Immigration; Social Issues; Cross Cultural Communication; Minority Groups; Racial and Ethnic Groups; Racial and Ethnic Attitudes; Stereotyped Attitudes; Threat; Generational Differences; Majority Groups; Adulthood (18 yrs &amp; older); Male; Female</t>
  </si>
  <si>
    <t>Through an experimental design, we investigated the effects of majority–minority acculturation preferences concordance and immigrants’ generational status on Italians’ attitudes towards Albanian immigrants. The role of perceived threat and metastereotypes in mediating this relationship was examined. Participants (N = 178) were categorized into different levels of culture maintenance and intercultural contact concordance. Findings showed that discrepancies in the contact dimension affected majority members’ attitudes towards immigrants. Both perceived threat and metastereotypes were found to mediate the relationship between contact discrepancies and attitudes towards immigrants. Culture maintenance concordance interacted with immigrants’ generational status in influencing majority members’ attitudes. This research confirmed the importance of taking into account the dynamic and reciprocal relationship between majority and immigrant acculturation preferences, confirming that the most positive attitudes were produced when immigrants were perceived to adopt the same strategy as the majority, especially with respect to intergroup contact. (PsycINFO Database Record (c) 2017 APA, all rights reserved)</t>
  </si>
  <si>
    <t>http://search.ebscohost.com.proxy-ub.rug.nl/login.aspx?direct=true&amp;db=psyh&amp;AN=2015-10026-010&amp;site=ehost-live&amp;scope=site</t>
  </si>
  <si>
    <t>Making sense of immigration processes: Overcoming narrative disruption.</t>
  </si>
  <si>
    <t>Vall, Berta; Botella, Lluís</t>
  </si>
  <si>
    <t>Narrative Inquiry</t>
  </si>
  <si>
    <t>2016-45114-001</t>
  </si>
  <si>
    <t>10.1075/ni.25.2.01val</t>
  </si>
  <si>
    <t>John Benjamins</t>
  </si>
  <si>
    <t>Immigration; Narratives; Quality of Life; Adolescence (13-17 yrs); Male; Female</t>
  </si>
  <si>
    <t>This article analyses the narrative disruption processes and quality of life of adolescent immigrants in Spain. Furthermore, it also provides a new methodological approach to assess meta-subjective and narrative quality of life. Participants were 30 adolescents (15 immigrant and 15 autochthons) selected form a sample of 884 adolescents (from which 204 were immigrants). Data regarding quality of life was collected applying the Friendship Quality Scale and the Vancouver Index of Acculturation to all the participants (n = 884). According to the punctuation of the questionnaires a subsample was chosen, the Biographical Grid was applied to 30 participants; the immigrants group was also asked to write a text. Results indicate that both perceived quality of life and self-esteem of immigrant’s group are lower than the autochthons’ while narrative disruption is higher. A deeply explanation about some of the causes of these results is provided by the narratives’ analysis. (PsycINFO Database Record (c) 2018 APA, all rights reserved)</t>
  </si>
  <si>
    <t>http://search.ebscohost.com.proxy-ub.rug.nl/login.aspx?direct=true&amp;db=psyh&amp;AN=2016-45114-001&amp;site=ehost-live&amp;scope=site</t>
  </si>
  <si>
    <t>Making the connection: Latino immigrants and their cross-border ties.</t>
  </si>
  <si>
    <t>Soehl, Thomas; Waldinger, Roger</t>
  </si>
  <si>
    <t>2010-18090-001</t>
  </si>
  <si>
    <t>10.1080/01419871003624050</t>
  </si>
  <si>
    <t>Immigration; Social Interaction; Latinos/Latinas; Adulthood (18 yrs &amp; older); Male; Female</t>
  </si>
  <si>
    <t>This paper uses the Pew Hispanic Center's 2006 National Survey of Latinos to study the everyday, routine cross-border activities of travel, remittance sending and telephone communication among Latin American immigrants in the United States. We ask how migrants vary in the intensity of their cross-border connections, distinguishing among the transmigrants, those captured by the host-country national social field, and those who maintain some ongoing home-country tie. We then examine the characteristics associated both with variations in the intensity of connectedness and with each specific type of connection. We show that most migrants maintain some degree of home-country connectedness, with a minority severing ties and a still smaller minority maintaining ties at a high degree of intensity. Connectivity is highly responsive to the location of key social ties, acculturation, and citizenship status, as well as the costs associated with the different types of cross-border activity. (PsycINFO Database Record (c) 2016 APA, all rights reserved)</t>
  </si>
  <si>
    <t>http://search.ebscohost.com.proxy-ub.rug.nl/login.aspx?direct=true&amp;db=psyh&amp;AN=2010-18090-001&amp;site=ehost-live&amp;scope=site</t>
  </si>
  <si>
    <t>Marginal and happy? The need for uniqueness predicts the adjustment of marginal immigrants.</t>
  </si>
  <si>
    <t>Debrosse, Régine; Sablonnière, Roxane; Rossignac‐Milon, Maya</t>
  </si>
  <si>
    <t>British Journal of Social Psychology</t>
  </si>
  <si>
    <t>2015-17998-001</t>
  </si>
  <si>
    <t>10.1111/bjso.12113</t>
  </si>
  <si>
    <t>Adjustment; Happiness; Immigration; Marginalization; Life Satisfaction; Self-Esteem; Adulthood (18 yrs &amp; older); Male; Female</t>
  </si>
  <si>
    <t>Marginalization is often presented as the strategy associated with the worst adjustment for immigrants. This study identifies a critical variable that buffers marginal immigrants from the negative effects of marginalization on adjustment: The need for uniqueness. In three studies, we surveyed immigrants recruited on university campuses (n = 119, n = 116) and in the field (n = 61). Among marginal immigrants, a higher need for uniqueness predicted higher self‐esteem (Study 1), affect (Study 2), and life satisfaction (Study 3), and marginally higher happiness (Study 2) and self‐esteem (Study 3). No relationship between the need for uniqueness and adjustment was found among non‐marginal immigrants. The adaptive value of the need for uniqueness for marginal immigrants is discussed. (PsycINFO Database Record (c) 2016 APA, all rights reserved)</t>
  </si>
  <si>
    <t>http://search.ebscohost.com.proxy-ub.rug.nl/login.aspx?direct=true&amp;db=psyh&amp;AN=2015-17998-001&amp;site=ehost-live&amp;scope=site</t>
  </si>
  <si>
    <t>Marital stability among Jewish and mixed couples following immigration to Israel from the former Soviet Union.</t>
  </si>
  <si>
    <t>Lavee, Yoav; Krivosh, Ludmila</t>
  </si>
  <si>
    <t>2012-14111-007</t>
  </si>
  <si>
    <t>10.1027/1016-9040/a000112</t>
  </si>
  <si>
    <t>Ethnic Identity; Immigration; Interracial Marriage; Marital Relations; Social Adjustment; Couples; Jews; Cultural Identity; Adulthood (18 yrs &amp; older); Male; Female</t>
  </si>
  <si>
    <t>This research aims to identify factors associated with marital instability among Jewish and mixed (Jewish and non-Jewish) couples following immigration from the former Soviet Union. Based on the Strangeness Theory and the Model of Acculturation, we predicted that non-Jewish immigrants would be less well adjusted personally and socially to Israeli society than Jewish immigrants and that endogamous Jewish couples would have better interpersonal congruence than mixed couples in terms of personal and social adjustment. The sample included 92 Jewish couples and 92 ethnically-mixed couples, of which 82 couples (40 Jewish, 42 mixed) divorced or separated after immigration and 102 couples (52 Jewish, 50 ethnically mixed) remained married. Significant differences were found between Jewish and non-Jewish immigrants in personal adjustment, and between endogamous and ethnically-mixed couples in the congruence between spouses in their personal and social adjustment. Marital instability was best explained by interpersonal disparity in cultural identity and in adjustment to life in Israel. The findings expand the knowledge on marital outcomes of immigration, in general, and immigration of mixed marriages, in particular. (PsycInfo Database Record (c) 2020 APA, all rights reserved)</t>
  </si>
  <si>
    <t>http://search.ebscohost.com.proxy-ub.rug.nl/login.aspx?direct=true&amp;db=psyh&amp;AN=2012-14111-007&amp;site=ehost-live&amp;scope=site</t>
  </si>
  <si>
    <t>Mastering developmental transitions in immigrant adolescents: The longitudinal interplay of family functioning, developmental and acculturative tasks.</t>
  </si>
  <si>
    <t>Reitz, Anne K.; Motti-Stefanidi, Frosso; Asendorpf, Jens B.</t>
  </si>
  <si>
    <t>2013-28206-001</t>
  </si>
  <si>
    <t>10.1037/a0033889</t>
  </si>
  <si>
    <t>Acculturation; Adolescent Development; Ethnic Identity; Family Relations; Self-Efficacy; Immigration; Childhood (birth-12 yrs); School Age (6-12 yrs); Adolescence (13-17 yrs); Male; Female</t>
  </si>
  <si>
    <t>Immigrant youth differ in their adaptation, which is judged on the basis of how well they deal with developmental and acculturative tasks. While immigrant adolescents are faced with the realities of 2 different cultures, they also have to master age-salient tasks, such as self-efficacy and identity development. To get a better insight into the interplay of developmental and acculturative tasks and their relationship with family functioning, we used 3-wave longitudinal data over a 2-year period from 13-year-old immigrant students (N = 609) in Athens, Greece. Cross-lagged models revealed that family functioning and acculturation were resources for the mastery of developmental tasks. Involvement in the host culture prospectively predicted self-efficacy beliefs, and involvement in the ethnic culture prospectively predicted ethnic identity. These effects increased over time. Family functioning prospectively predicted self-efficacy and ethnic identity. These effects decreased over time. The findings suggest that a well-functioning family, for early adolescents, and being involved in the host culture and in ethnic cultures, for middle adolescents, are particularly important resources to master the tasks of their developmental period. Our findings underscore the importance of developmentally sensitive approaches and the need to account for acculturative challenges in order to understand individual differences in immigrant youth adaptation. (PsycINFO Database Record (c) 2018 APA, all rights reserved)</t>
  </si>
  <si>
    <t>http://search.ebscohost.com.proxy-ub.rug.nl/login.aspx?direct=true&amp;db=psyh&amp;AN=2013-28206-001&amp;site=ehost-live&amp;scope=site</t>
  </si>
  <si>
    <t>Masturbatory behavior and feelings: An exploratory study of Indian immigrant men in Australia.</t>
  </si>
  <si>
    <t>Ramanathan, Vijayasarathi; Sitharthan, Gomathi; Pepper, Karen; Wylie, Kevan</t>
  </si>
  <si>
    <t>International Journal of Sexual Health</t>
  </si>
  <si>
    <t>2014-07501-003</t>
  </si>
  <si>
    <t>10.1080/19317611.2013.828147</t>
  </si>
  <si>
    <t>Acculturation; Emotional Responses; Masturbation; Sexual Attitudes; Sociocultural Factors; Adult Attitudes; Human Males; Immigration; Adulthood (18 yrs &amp; older); Young Adulthood (18-29 yrs); Thirties (30-39 yrs); Middle Age (40-64 yrs); Male</t>
  </si>
  <si>
    <t>Objectives: Sexual problems associated with masturbation (especially intense negative feelings) are commonly reported among Indian subcontinental men. Yet there is a paucity of scientific information about masturbatory behavior and feelings. Much of the available information is either from clinic-based studies or from studies involving young Indians. Methods: The present study, using a community sample of Indian men in Australia, aimed to explore their masturbatory behavior and feelings. Results: Overall, 268 men took part in an online survey, and 221 of these men completed the section on masturbation. Some demographic characteristics of the study sample were comparable to those of the Indian community in Australia. A large proportion (n = 174, 79%) reported that they currently masturbate, while the rest said they never masturbated (n = 9, 4%) or did masturbate in the past but not at present (n = 38, 17%). Among those who currently masturbate, the mean age of onset of masturbation was 14.9 years. Married men tended to masturbate less frequently than unmarried men. The most common mode, source of stimuli, and reason for masturbation were using hands (n = 162, 95%), watching erotic material on the Internet (n = 136, 81%), and to gain pleasure (n = 137, 79%), respectively. A high proportion (n = 114, 66%) of Indian men who currently masturbate said that they experienced positive feelings when masturbating. Conclusions: Masturbatory feelings of Indian men were found to differ by length of residence in Australia but not by degree of acculturation or age. The present exploratory study has provided baseline information about masturbation among Indian men and indicates the need for further research. (PsycINFO Database Record (c) 2016 APA, all rights reserved)</t>
  </si>
  <si>
    <t>http://search.ebscohost.com.proxy-ub.rug.nl/login.aspx?direct=true&amp;db=psyh&amp;AN=2014-07501-003&amp;site=ehost-live&amp;scope=site</t>
  </si>
  <si>
    <t>Maternal cultural orientation and child growth in New Zealand pacific families.</t>
  </si>
  <si>
    <t>Tseng, Marilyn; Taylor, Steve; Tautolo, El-Shadan; Savila, Faasisila; Paterson, Janis; Rush, Elaine</t>
  </si>
  <si>
    <t>Childhood Obesity</t>
  </si>
  <si>
    <t>2015-44226-013</t>
  </si>
  <si>
    <t>Acculturation; Childhood Development; Mothers; Weight Gain; Immigration; Pacific Islanders; Childhood (birth-12 yrs); Preschool Age (2-5 yrs); School Age (6-12 yrs); Adulthood (18 yrs &amp; older); Male; Female</t>
  </si>
  <si>
    <t>Background: In New Zealand (NZ), children of Pacific heritage are generally born heavier and gain weight more quickly than non-Pacific children. Immigrants' health is commonly expected to converge with the host population through acculturation. The aim of this analysis was to examine whether mothers' acculturation is associated with less-rapid weight gain in NZ Pacific children, and whether this differs by mothers' nativity. Methods: In a birth cohort of 1249 children followed 2000–2011, birth weight and weight and standing height, measured at years 2, 4, 6, 9, and 11, were quantified as sex- and age-specific weight (weight-for-age; WFA) and BMI z-scores. Maternal acculturation (range, 11–54) was assessed at baseline and years 4, 6, and 11. Results: In adjusted models using generalized estimating equations to account for repeated measures, maternal acculturation was not significantly associated with children's WFA or BMI z-scores overall. In stratified analyses, change in maternal acculturation score was inversely associated with WFA z-score change among children of NZ-born, but not immigrant, mothers (beta = −0.021; 95% confidence interval, −0.036 to −0.007; p = 0.006; interaction, p = 0.005). Conclusions: Our study provides the first evidence in a longitudinal sample that changes in maternal acculturation can influence children's growth, suggesting the importance of lifestyle or behavioral factors related to a mother's cultural orientation. Given the high risk of obesity and its related conditions in the NZ Pacific population, critical next steps are to identify mediating factors, as well as to understand the processes influencing growth among children of immigrant mothers. (PsycINFO Database Record (c) 2016 APA, all rights reserved)</t>
  </si>
  <si>
    <t>http://search.ebscohost.com.proxy-ub.rug.nl/login.aspx?direct=true&amp;db=psyh&amp;AN=2015-44226-013&amp;site=ehost-live&amp;scope=site</t>
  </si>
  <si>
    <t>Maternal employment, acculturation, and time spent in food-related behaviors among Hispanic mothers in the United States. Evidence from the American Time Use Survey.</t>
  </si>
  <si>
    <t>Sliwa, Sarah A.; Must, Aviva; Peréa, Flavia; Economos, Christina D.</t>
  </si>
  <si>
    <t>Appetite</t>
  </si>
  <si>
    <t>2015-07573-002</t>
  </si>
  <si>
    <t>10.1016/j.appet.2014.10.015</t>
  </si>
  <si>
    <t>Acculturation; Consumer Behavior; Dietary Restraint; Mother Child Relations; Employment Status; Food; Mothers; Latinos/Latinas; Adulthood (18 yrs &amp; older); Young Adulthood (18-29 yrs); Thirties (30-39 yrs); Middle Age (40-64 yrs); Aged (65 yrs &amp; older); Female</t>
  </si>
  <si>
    <t>Employment is a major factor underlying im/migration patterns. Unfortunately, lower diet quality and higher rates of obesity appear to be unintended consequences of moving to the US. Changes in food preparation practices may be a factor underlying dietary acculturation. The relationships between employment, acculturation, and food-related time use in Hispanic families have received relatively little attention.We used cross-sectional data collected from Hispanic mothers (ages 18–65) with at least one child &lt; 13 years old participating in the 2003–2011 American Time Use Survey (n = 3622) to estimate the relationship between employment, acculturation (US-born vs. im/migrant), and time spent in food preparation and family dinner. Regression models were estimated separately for the employed and the non-working and were adjusted for Hispanic origin group, socio-demographic and household characteristics. Working an eight-hour day was associated with spending 38 fewer minutes in food preparation (−38.0 ± SE 4.8, p &lt; 001). Although being US-born was associated with spending fewer minutes in food preparation, this relationship varied by origin group. Acculturation did not appear to modify the relationship between hours worked and time spent in food preparation or family dinner. Mothers who worked late hours spent less time eating the evening meal with their families (−9.8 ± SE 1.3). Although an eight-hour workday was associated with a significant reduction in food preparation time, an unexpected result is that, for working mothers, additional time spent in paid work is not associated with the duration of family dinner later that day. (PsycInfo Database Record (c) 2020 APA, all rights reserved)</t>
  </si>
  <si>
    <t>http://search.ebscohost.com.proxy-ub.rug.nl/login.aspx?direct=true&amp;db=psyh&amp;AN=2015-07573-002&amp;site=ehost-live&amp;scope=site</t>
  </si>
  <si>
    <t>Measures of acculturation are associated with cardiovascular disease risk factors, dietary intakes, and physical activity in older Chinese Americans in New York City.</t>
  </si>
  <si>
    <t>Wong, Sally S.; Dixon, L. Beth; Gilbride, Judith A.; Kwan, Tak W.; Stein, Richard A.</t>
  </si>
  <si>
    <t>2013-14543-014</t>
  </si>
  <si>
    <t>10.1007/s10903-012-9669-4</t>
  </si>
  <si>
    <t>Acculturation; Cardiovascular Disorders; Diets; Geriatrics; Risk Factors; Chinese Cultural Groups; Immigration; Physical Activity; Adulthood (18 yrs &amp; older); Aged (65 yrs &amp; older); Male; Female</t>
  </si>
  <si>
    <t>Cardiovascular disease (CVD) is the leading cause of death in the U.S. and affects Chinese Americans disproportionately compared to other ethnic groups in the American population. Studies of immigrant populations have shown that risk factors for CVD, including diet and physical activity, differ by acculturation. This cross-sectional study evaluated whether two measures of acculturation (region of birthplace, length of residence in the U.S.) were associated with CVD risk factors, dietary intakes, and physical activity of 125 older Chinese Americans who participated in health fairs conducted in NYC. In this study, mean waist circumference differed significantly by birthplace. Mean systolic and diastolic blood pressure differed significantly by length of residence in the U.S. Mean intake of vitamin B6, folate and calcium differed significantly by birthplace: Chinese Americans from Hong Kong had the highest mean vitamin B6 intake whereas older Chinese Americans from Northern China had the highest folate and calcium intakes. Mean intake of riboflavin differed significantly by length of residence in the U.S. with Chinese Americans adults who lived in the U.S. less than 10 years having the highest mean intake. Mean dairy intake of Chinese Americans differed significantly by birthplace, with adults from northern China having the highest mean dairy intake. Vigorous-intensity physical activity differed significantly by birthplace, with adults from Hong Kong reporting the most daily minutes of vigorous-intensity physical activity. This study suggests that acculturation may be associated with the cardiovascular health of older Chinese Americans living in NYC. (PsycINFO Database Record (c) 2016 APA, all rights reserved)</t>
  </si>
  <si>
    <t>http://search.ebscohost.com.proxy-ub.rug.nl/login.aspx?direct=true&amp;db=psyh&amp;AN=2013-14543-014&amp;site=ehost-live&amp;scope=site</t>
  </si>
  <si>
    <t>Measuring Acculturation Among Male Arab Immigrants in the United States: An Exploratory Study.</t>
  </si>
  <si>
    <t>Barry, Declan T.</t>
  </si>
  <si>
    <t>2005-05619-004</t>
  </si>
  <si>
    <t>10.1007/s10903-005-3674-9</t>
  </si>
  <si>
    <t>Acculturation; Arabs; Immigration; Ethnic Identity; Self-Esteem; Adulthood (18 yrs &amp; older); Young Adulthood (18-29 yrs); Thirties (30-39 yrs); Middle Age (40-64 yrs); Male</t>
  </si>
  <si>
    <t>Given the absence of empirical measures that assess acculturation patterns among male Arab immigrants, a new acculturation instrument was developed and evaluated. One hundred and fifteen adult male Arab immigrants were administered the Male Arab Acculturation Scale (MAAS), and psychometrically established measures of ethnic identity and self-esteem. Satisfactory reliability is reported for the two acculturation scales, separation/assimilation and integration/marginalization. Ethnic identity, self-construal, personal self-esteem, and collective self-esteem appear to be differentially associated with acculturation patterns among male Arab immigrants. (PsycINFO Database Record (c) 2017 APA, all rights reserved)</t>
  </si>
  <si>
    <t>http://search.ebscohost.com.proxy-ub.rug.nl/login.aspx?direct=true&amp;db=psyh&amp;AN=2005-05619-004&amp;site=ehost-live&amp;scope=site</t>
  </si>
  <si>
    <t>Measuring acculturation and enculturation among Chinese Canadian older adults.</t>
  </si>
  <si>
    <t>Tieu, Yvonne; Konnert, Candace</t>
  </si>
  <si>
    <t>Canadian Journal on Aging</t>
  </si>
  <si>
    <t>2015-06310-003</t>
  </si>
  <si>
    <t>10.1017/S071498081400049X</t>
  </si>
  <si>
    <t>Acculturation; Aging; Chinese Cultural Groups; Immigration; Measurement; Factor Structure; Psychometrics; Adulthood (18 yrs &amp; older); Middle Age (40-64 yrs); Aged (65 yrs &amp; older); Male; Female</t>
  </si>
  <si>
    <t>Cultural adaptation is important to assess; however, most acculturation measures are unidimensional with little psychometric data for older immigrants. This study assessed a bidimensional measure, the Vancouver Index of Acculturation (VIA; Ryder, Alden, &amp; Paulhus, 2000 ), among 149 (mean age: 73.92 years) Chinese Canadians. Internal consistencies were .84 and .83 for the Mainstream and Heritage subscales respectively, and they were orthogonal. Convergent and discriminant validity were demonstrated by predicted correlations between the VIA subscales and age at immigration, years in Canada, English fluency, and the Belief in Chinese Culture and Values Scale (BCCV; Lai &amp; Chau, 2007 ). The VIA accounted for significantly more variance in language ability than the BCCV, above and beyond acculturation proxies. Exploratory factor analysis replicated the two-factor structure reported by Ryder et al. (2000 ). A confirmatory factor analysis indicated poor fit. This study supports a bidimensional model of cultural adaptation among older Chinese Canadians. (PsycINFO Database Record (c) 2016 APA, all rights reserved)</t>
  </si>
  <si>
    <t>http://search.ebscohost.com.proxy-ub.rug.nl/login.aspx?direct=true&amp;db=psyh&amp;AN=2015-06310-003&amp;site=ehost-live&amp;scope=site</t>
  </si>
  <si>
    <t>Measuring acculturation and symptoms of depression of foreign immigrants in the Athens area.</t>
  </si>
  <si>
    <t>Madianos, M. G.; Gonidakis, F.; Ploubidis, D.; Papadopoulou, E.; Rogakou, E.</t>
  </si>
  <si>
    <t>2008-10613-006</t>
  </si>
  <si>
    <t>10.1177/0020764008090288</t>
  </si>
  <si>
    <t>Acculturation; Expatriates; Immigration; Major Depression; Symptoms; Adulthood (18 yrs &amp; older); Male; Female</t>
  </si>
  <si>
    <t>Background: Acculturation is the phenomenon that results when a group with one culture comes into continuous contact with a host culture and changes occur in the original culture of either one or both groups. Acculturation has also been linked with stress-related psychological disorder and depression. Aims: This article investigates the acculturation process and the depressive state of foreign immigrants living in the greater Athens area. Methods: All consecutive cases of 157 foreign immigrants who visited a nongovernmental organization (NGO) providing consultative services to immigrants were interviewed using a structured questionnaire including the Immigrant Acculturation Scale (IAS) and the Centre for Epidemiologic Studies--Depression (CES-D) scale. Results: Factor analysis of IAS yielded a three-factor solution and 17 items with loadings ranging from 0.74 to 0.41. This scale was also tested and proven to be reliable. The main finding is that the higher the acculturation level of the immigrant individual, the lower the CES-D scale score; the fewer the depressive symptoms are self-reported. Length of stay, existence of family in Greece, legal status of residence and employment were also found to have an effect on depressive symptomatology. Conclusion: Acculturation could be seen as a beneficial mechanism protecting the individual to be exposed to stressful non-adaptive behaviour. (PsycINFO Database Record (c) 2016 APA, all rights reserved)</t>
  </si>
  <si>
    <t>http://search.ebscohost.com.proxy-ub.rug.nl/login.aspx?direct=true&amp;db=psyh&amp;AN=2008-10613-006&amp;site=ehost-live&amp;scope=site</t>
  </si>
  <si>
    <t>Measuring globalization-based acculturation in Ladakh: Investigating possible advantages of a tridimensional acculturation scale.</t>
  </si>
  <si>
    <t>Ozer, Simon; Schwartz, Seth J.</t>
  </si>
  <si>
    <t>2016-32244-002</t>
  </si>
  <si>
    <t>10.1016/j.ijintrel.2016.05.002</t>
  </si>
  <si>
    <t>Acculturation; Globalization; Measurement; Psychometrics; Cultural Deprivation; Adulthood (18 yrs &amp; older); Male; Female</t>
  </si>
  <si>
    <t>Theories and methodologies within acculturation psychology have been advanced in order to capture the complex process of intercultural contact in various contexts. Differentiating globalization-based acculturation from immigrant-based acculturation has broadened the field of acculturation psychology to include groups who are exposed to global cultural streams without international migration. The globalization-based acculturation process in the North Indian region of Ladakh appears to be a tricultural encounter, suggesting an addendum to the bidimensional acculturation model for this group (and perhaps for others as well). This study explores the development, usability, and validity of a tridimensional acculturation measure aiming to capture the multicultural orientations initiated by the process of globalization in Ladakh. The tridimensional acculturation scale was found to fit the data significantly better compared to the bidimensional scale. Implications for the study of globalization-based acculturation are discussed. (PsycInfo Database Record (c) 2020 APA, all rights reserved)</t>
  </si>
  <si>
    <t>http://search.ebscohost.com.proxy-ub.rug.nl/login.aspx?direct=true&amp;db=psyh&amp;AN=2016-32244-002&amp;site=ehost-live&amp;scope=site</t>
  </si>
  <si>
    <t>Measuring intimate partner violence among male and female farmworkers in San Diego County, Ca.</t>
  </si>
  <si>
    <t>Duke, Michael R.; Cunradi, Carol B.</t>
  </si>
  <si>
    <t>2011-03115-007</t>
  </si>
  <si>
    <t>10.1037/a0021826</t>
  </si>
  <si>
    <t>Alcohol Abuse; Intimacy; Intimate Partner Violence; Violence; Latinos/Latinas; Agricultural Workers; Stress; Adulthood (18 yrs &amp; older); Male; Female</t>
  </si>
  <si>
    <t>Although there are over one million farmworkers in the United States, little is known about intimate partner violence (IPV) among this population. Given the particular demands of agricultural labor, however, farmworkers and their partners are highly susceptible to a host of occupation-specific stressors that may result in relationship conflict, and thereafter IPV. In cases where one or both members of the dyad engage in problematic drinking, the likelihood of violence increases exponentially. The purpose of this exploratory quantitative study was to estimate the prevalence of IPV among a mixed gender sample of farmworkers in San Diego County, California, and assess the association of potential correlates (acculturation- and work-related stress, problem drinking, and impulsivity) to IPV. Bilingual interviewers conducted survey data collection by using standardized instruments (e.g., Revised Conflict Tactics Scale; Migrant Farm Work Stress Inventory; AUDIT). Nearly all participants (n = 100) were Mexican born. Results showed that approximately 16% of female individuals (n = 61) and 32% of male individuals (n = 37) reported partner violence perpetration, victimization, or both, in the past year. Significant correlates of IPV were problem drinking (among males) and impulsivity (among females). This study demonstrates the feasibility of conducting IPV research among male and female farmworkers. Additional research is warranted to more fully explore the role of acculturation- and work-related stress, drinking, and other personal characteristics and environmental factors in precipitating couple conflict and thereafter IPV. (PsycINFO Database Record (c) 2019 APA, all rights reserved)</t>
  </si>
  <si>
    <t>http://search.ebscohost.com.proxy-ub.rug.nl/login.aspx?direct=true&amp;db=psyh&amp;AN=2011-03115-007&amp;site=ehost-live&amp;scope=site</t>
  </si>
  <si>
    <t>Measuring social capital: An adaptation and translation into Arabic of the Onyx and Bullen Social Capital Scale for Iraqi-Canadians.</t>
  </si>
  <si>
    <t>Abdulahad, Raika; Brownlee, Keith; Graham, John R.; Montelpare, William J.</t>
  </si>
  <si>
    <t>Australian Social Work</t>
  </si>
  <si>
    <t>2018-44772-001</t>
  </si>
  <si>
    <t>10.1080/0312407X.2018.1481218</t>
  </si>
  <si>
    <t>Foreign Language Translation; Personality Measures; Social Capital; Test Reliability; Test Validity; Factor Analysis; Immigration; Social Workers; Test Construction; Adulthood (18 yrs &amp; older); Young Adulthood (18-29 yrs); Thirties (30-39 yrs); Middle Age (40-64 yrs); Male; Female</t>
  </si>
  <si>
    <t>Social capital has gained increasing attention from social workers as a way to understand the social networks and resources available to clients, especially new immigrants. Although researchers have developed helpful measures of social capital, a need remains to translate these tools into the native languages of immigrants, while addressing any specific cultural considerations. It would be beneficial for social workers to have access to an Arabic version of a social capital scale. This article describes the process of translation and cultural adaptation of the Onyx and Bullen social capital scale from English to Arabic. Using the responses from 326 Iraqi-Canadians, the instrument was factor analysed to verify the underlying conceptual structure. The translated instrument was found to be consistent with Onyx and Bullen’s original factorial structure and to have good internal reliability with a Cronbach coefficient alpha for the overall instrument, which was comparable to the original scale. (PsycInfo Database Record (c) 2020 APA, all rights reserved)</t>
  </si>
  <si>
    <t>http://search.ebscohost.com.proxy-ub.rug.nl/login.aspx?direct=true&amp;db=psyh&amp;AN=2018-44772-001&amp;site=ehost-live&amp;scope=site</t>
  </si>
  <si>
    <t>Media effects on acculturation and biculturalism: A case study of Korean immigrants in Los Angeles' Koreatown.</t>
  </si>
  <si>
    <t>Moon, Seung-jun; Park, Cheong Yi</t>
  </si>
  <si>
    <t>2007-15565-004</t>
  </si>
  <si>
    <t>10.1080/15205430701407330</t>
  </si>
  <si>
    <t>Acculturation; Immigration; Korean Cultural Groups; Mass Media; Multiculturalism; Ethnic Identity; Ethnic Values; Cultural Identity; Adolescence (13-17 yrs); Adulthood (18 yrs &amp; older); Young Adulthood (18-29 yrs); Thirties (30-39 yrs); Middle Age (40-64 yrs); Male; Female</t>
  </si>
  <si>
    <t>Given the assumption that mass media reflect the cultural values of a society, this study investigates the effects of American and Korean mass media on Korean immigrants' acculturation process. Structural equation modeling and hierarchical regression modeling were used to evaluate how exposure to mass media is related to the acculturation process. The survey results from the two different analyses were consistent with each other, in that exposure to American mass media was a significant positive predictor for the acceptance of American cultural values and a significant negative predictor of the affinity for Korean cultural identity. However, exposure to Korean mass media was related to neither immigrant's affinity for Korean cultural identity nor acceptance of American cultural values. Thus, we surmise that even though Korean immigrants are frequently exposed to both American and Korean mass media, they tend to be Americanized instead of bicultural due to the strong effects of the American media. (PsycInfo Database Record (c) 2020 APA, all rights reserved)</t>
  </si>
  <si>
    <t>http://search.ebscohost.com.proxy-ub.rug.nl/login.aspx?direct=true&amp;db=psyh&amp;AN=2007-15565-004&amp;site=ehost-live&amp;scope=site</t>
  </si>
  <si>
    <t>Mediating effect of Adult Day Health Care (ADHC) and family network on quality of life among low-income older Korean immigrants.</t>
  </si>
  <si>
    <t>Kim, Bum Jung</t>
  </si>
  <si>
    <t>Research on Aging</t>
  </si>
  <si>
    <t>2014-11137-004</t>
  </si>
  <si>
    <t>10.1177/0164027513491971</t>
  </si>
  <si>
    <t>Adult Day Care; Health Care Services; Immigration; Quality of Life; Social Networks; Family; Korean Cultural Groups; Adulthood (18 yrs &amp; older); Aged (65 yrs &amp; older); Very Old (85 yrs &amp; older); Male; Female</t>
  </si>
  <si>
    <t>The purpose of this study is to examine the direct and indirect effects of Adult Day Health Care (ADHC) and family network on Quality of Life (QOL) for low-income older Korean immigrants in Los Angeles County, CA. A cross-sectional survey of low-income older Korean immigrants who use ADHC programs was conducted. Self-reported measures included sociocultural characteristics, acculturation, cognitive function, family network, utilization of ADHC, and QOL. The study found that for QOL, two variables had only direct effects: years in ADHC and acculturation. Family network was directly associated with QOL and indirectly associated with it through the variable 'years in ADHC.' Our findings indicate that a strong family network is positively associated with more years of attendance in ADHC, and with higher QOL scores. Thus, policy makers and practitioners should be aware of the positive association among social networks, attendance in ADHC, and higher QOL among low-income older Korean immigrants. (PsycINFO Database Record (c) 2016 APA, all rights reserved)</t>
  </si>
  <si>
    <t>http://search.ebscohost.com.proxy-ub.rug.nl/login.aspx?direct=true&amp;db=psyh&amp;AN=2014-11137-004&amp;site=ehost-live&amp;scope=site</t>
  </si>
  <si>
    <t>Meeting the expectations of your heritage culture: Links between attachment orientations, intragroup marginalization and psychological adjustment.</t>
  </si>
  <si>
    <t>2016-01468-006</t>
  </si>
  <si>
    <t>10.1177/0265407514562565</t>
  </si>
  <si>
    <t>Acculturation; Attachment Behavior; Emotional Adjustment; Social Acceptance; Marginalization; Expectations; Neuroticism; Self-Esteem; Stress; Well Being; Identification; Adulthood (18 yrs &amp; older); Male; Female</t>
  </si>
  <si>
    <t>Do insecurely attached individuals perceive greater rejection from their heritage culture? Few studies have examined the antecedents and outcomes of this perceived rejection—termed intragroup marginalization—in spite of its implications for the adjustment of cultural migrants to the mainstream culture. This study investigated whether anxious and avoidant attachment orientations among cultural migrants were associated with greater intragroup marginalization and, in turn, with lower subjective well-being and flourishing and higher acculturative stress. Anxious attachment was associated with heightened intragroup marginalization from friends and, in turn, with increased acculturative stress; anxious attachment was also associated with increased intragroup marginalization from family. Avoidant attachment was linked with increased intragroup marginalization from family and, in turn, with decreased subjective well-being. (PsycINFO Database Record (c) 2016 APA, all rights reserved)</t>
  </si>
  <si>
    <t>http://search.ebscohost.com.proxy-ub.rug.nl/login.aspx?direct=true&amp;db=psyh&amp;AN=2016-01468-006&amp;site=ehost-live&amp;scope=site</t>
  </si>
  <si>
    <t>Mental Distress, Economic Hardship and Expectations of Life in Canada among Sudanese Newcomers.</t>
  </si>
  <si>
    <t>Simich, Laura; Hamilton, Hayley; Baya, B. Khamisa</t>
  </si>
  <si>
    <t>2006-13483-005</t>
  </si>
  <si>
    <t>10.1177/1363461506066985</t>
  </si>
  <si>
    <t>Distress; Expectations; Financial Strain; Health; Immigration; Adulthood (18 yrs &amp; older); Male; Female</t>
  </si>
  <si>
    <t>As part of a settlement needs assessment of 220 recently arrived Sudanese refugees and immigrants in seven cities, we examined overall health status, indicators of mental distress, economic hardship and expectations of life in Canada. Data were collected in a community-based study using qualitative and quantitative techniques. Results indicate that those Sudanese for whom life in Canada was not what they expected and those who experienced economic hardship as measured by worry over having enough money for food or medicine experienced poorer overall health and reported a greater number of symptoms of psychological distress. After controlling for demographic and related variables, we found that individuals who were experiencing economic hardship were between 2.6 and 3.9 times as likely to experience loss of sleep, constant strain, unhappiness and depression, and bad memories as individuals who do not experience hardship. Healthcare providers should be aware of how postmigration social disadvantages may increase the risk of mental distress particularly among refugees. (PsycInfo Database Record (c) 2020 APA, all rights reserved)</t>
  </si>
  <si>
    <t>http://search.ebscohost.com.proxy-ub.rug.nl/login.aspx?direct=true&amp;db=psyh&amp;AN=2006-13483-005&amp;site=ehost-live&amp;scope=site</t>
  </si>
  <si>
    <t>Mental health among adolescents from returned Portuguese immigrant families from North America.</t>
  </si>
  <si>
    <t>North American Journal of Psychology</t>
  </si>
  <si>
    <t>2011-04670-007</t>
  </si>
  <si>
    <t>North American Journal Of Psychology</t>
  </si>
  <si>
    <t>Adolescent Attitudes; Immigration; Mental Health; Family; Human Sex Differences; Adolescence (13-17 yrs); Adulthood (18 yrs &amp; older); Young Adulthood (18-29 yrs); Male; Female</t>
  </si>
  <si>
    <t>The aims of this study were to investigate the degree of mental health problems among adolescents from returned immigrant families from North America and the factors that may be related to mental health problems. The study sample consisted of 105 returned adolescents returning with their families from North America. A reference group involving 217 Portuguese youths was also included in the study. Adolescents from immigrant families reported lower mental health level than Portuguese adolescents who have never migrated. No gender differences in mental health problems emerged. Adaptation variables did make an independent contribution to mental health outcomes even after acculturation variables were accounted for. Implications of the study for counselors are discussed. (PsycINFO Database Record (c) 2016 APA, all rights reserved)</t>
  </si>
  <si>
    <t>http://search.ebscohost.com.proxy-ub.rug.nl/login.aspx?direct=true&amp;db=psyh&amp;AN=2011-04670-007&amp;site=ehost-live&amp;scope=site</t>
  </si>
  <si>
    <t>Mental health among older refugees: The role of trauma, discrimination, and religiousness.</t>
  </si>
  <si>
    <t>Mölsä, Mulki; Kuittinen, Saija; Tiilikainen, Marja; Honkasalo, Marja-Liisa; Punamäki, Raija-Leena</t>
  </si>
  <si>
    <t>2017-23944-006</t>
  </si>
  <si>
    <t>10.1080/13607863.2016.1165183</t>
  </si>
  <si>
    <t>Geriatrics; Mental Health; Refugees; Trauma; War; Race and Ethnic Discrimination; Religiosity; Childhood Adversity; Adversity; Adulthood (18 yrs &amp; older); Middle Age (40-64 yrs); Aged (65 yrs &amp; older); Male; Female</t>
  </si>
  <si>
    <t>Objectives: The aim of this study was to examine, first, how past traumatic stress and present acculturation indices, and discrimination are associated with mental health; and, second, whether religiousness can buffer the mental health from negative impacts of war trauma. Method: Participants were 128 older (50–80 years) Somali refugees living in Finland. They reported experiences of war trauma and childhood adversities, and filled-in questionnaires of perceived ethnic discrimination, religiousness (beliefs, attendance, and observance of Islamic faith), and symptoms of posttraumatic stress disorder (PTSD), depressive (BDI-21), psychological distress (GHQ-12), and somatization (SCL-90). Results: Symptom-specific regression models showed that newly arrived refugees with non-permanent legal status and severe exposures to war trauma, childhood adversity, and discrimination endorsed greater PTSD symptoms, while only war trauma and discrimination were associated with depressive symptoms. Results confirmed that high religiousness could play a buffering role among older Somalis, as exposure to severe war trauma was not associated with high levels of PTSD or somatization symptoms among highly religious refugees. Conclusion: Health care should consider both unique past and present vulnerabilities and resources when treating refugees, and everyday discrimination and racism should be regarded as health risks. (PsycINFO Database Record (c) 2019 APA, all rights reserved)</t>
  </si>
  <si>
    <t>http://search.ebscohost.com.proxy-ub.rug.nl/login.aspx?direct=true&amp;db=psyh&amp;AN=2017-23944-006&amp;site=ehost-live&amp;scope=site</t>
  </si>
  <si>
    <t>Mental health needs and service utilization by Hispanic immigrants residing in Mid-southern United States.</t>
  </si>
  <si>
    <t>Bridges, Ana J.; Andrews, Arthur R. III; Deen, Tisha L.</t>
  </si>
  <si>
    <t>2012-26445-004</t>
  </si>
  <si>
    <t>10.1177/1043659612451259</t>
  </si>
  <si>
    <t>Health Care Services; Health Service Needs; Immigration; Mental Disorders; Mental Health; Adulthood (18 yrs &amp; older); Male; Female</t>
  </si>
  <si>
    <t>Purpose: This study assessed mental health needs and service utilization patterns in a convenience sample of Hispanic immigrants. Design and Method: A total of 84 adult Hispanic participants completed a structured diagnostic interview and a semistructured service utilization interview with trained bilingual research assistants. Results: In the sample, 36% met diagnostic criteria for at least one mental disorder. Although 42% of the sample saw a physician in the prior year, mental health services were being rendered primarily by religious leaders. The most common barriers to service utilization were cost (59%), lack of health insurance (35%), and language (31%). Although more women than men met criteria for a disorder, service utilization rates were comparable. Participants with a mental disorder were significantly more likely to have sought medical, but not psychiatric, services in the prior year and faced significantly more cost barriers than participants without a mental disorder. Conclusions: Findings suggest that Hispanic immigrants, particularly those with a mental illness, need to access services but face numerous systemic barriers. The authors recommend specific ways to make services more affordable and linguistically accessible. (PsycINFO Database Record (c) 2016 APA, all rights reserved)</t>
  </si>
  <si>
    <t>http://search.ebscohost.com.proxy-ub.rug.nl/login.aspx?direct=true&amp;db=psyh&amp;AN=2012-26445-004&amp;site=ehost-live&amp;scope=site</t>
  </si>
  <si>
    <t>Mental health of aging immigrants and native-born men across 11 European countries.</t>
  </si>
  <si>
    <t>Ladin, Keren; Reinhold, Steffen</t>
  </si>
  <si>
    <t>2013-07245-017</t>
  </si>
  <si>
    <t>10.1093/geronb/gbs163</t>
  </si>
  <si>
    <t>Aging; Immigration; Mental Health; Social Support; Socioeconomic Status; Death and Dying; Adulthood (18 yrs &amp; older); Middle Age (40-64 yrs); Aged (65 yrs &amp; older); Male; Female</t>
  </si>
  <si>
    <t>Objectives: Though working-age immigrants exhibit lower mortality compared with those domestic-born immigrants, consequences of immigration for mental health remain unclear. We examine whether older immigrants exhibit a mental advantage and whether factors believed to underlie immigrant vulnerability explain disparities. Method: The sample includes 12,247 noninstitutionalized men more than 50 years in 11 European countries. Multivariate logistic regression models estimated the impact of physical health, health behaviors, availability of social support, social participation, citizenship, time since immigration, socioeconomic status (SES), and employment on the mental health of immigrants. Results: Immigrants face 1.60 increased odds of depression despite a physical health advantage, evidenced by 0.74 lower odds of chronic illness. SES and availability of social support were predictive, though acculturation measures were not. Decomposition analysis revealed that only approximately 20% of the variation in depression rates between immigrants and native-born peers were explained by commonly cited risk factors. Conclusions: Despite physical health advantages, older immigrants suffer substantially higher depression rates. Time since immigration does not appear to mitigate depressive symptoms. (PsycINFO Database Record (c) 2016 APA, all rights reserved)</t>
  </si>
  <si>
    <t>http://search.ebscohost.com.proxy-ub.rug.nl/login.aspx?direct=true&amp;db=psyh&amp;AN=2013-07245-017&amp;site=ehost-live&amp;scope=site</t>
  </si>
  <si>
    <t>Mental health of immigrants and refugees seeking legal services on the US-Mexico border.</t>
  </si>
  <si>
    <t>Paat, Yok-Fong; Green, Rachel</t>
  </si>
  <si>
    <t>2017-56096-012</t>
  </si>
  <si>
    <t>10.1177/1363461517746316</t>
  </si>
  <si>
    <t>Forensic Psychology; Help Seeking Behavior; Immigration; Mental Health; Refugees; Protective Factors; Risk Factors; Latinos/Latinas; Adulthood (18 yrs &amp; older); Male; Female</t>
  </si>
  <si>
    <t>The debates on the mental health benefits associated with immigration are mixed. On the one hand, immigrants are provided with more opportunities not available in their home countries. On the other hand, they are far away from home and may have been exposed to traumatic experiences on their journeys to the receiving country. Even after settling down in the receiving country, most continue to face legal battles associated with their immigration status, as shown in this study. This study examined the risk and protective factors associated with the mental health conditions in a sample of 39 immigrants and refugees seeking legal services on the US-Mexico border. Participants were recruited from a southwestern community agency serving the region’s immigrant population over the past three decades. Negative mental health states including stress, sadness, and anxiety were frequently reported by the participants. Six themes were identified as significantly related to the participants’ adjustment in the US: (1) political turmoil and safety issues; (2) economic hardship and extreme poverty; (3) trauma before and after resettlement; (4) immigration status; (5) family relational strain; and (6) identity struggle and acculturation. Overall, results demonstrate the complexity of issues pertaining to cross-country migration, cultural sensitivities, and mental health. (PsycINFO Database Record (c) 2018 APA, all rights reserved)</t>
  </si>
  <si>
    <t>http://search.ebscohost.com.proxy-ub.rug.nl/login.aspx?direct=true&amp;db=psyh&amp;AN=2017-56096-012&amp;site=ehost-live&amp;scope=site</t>
  </si>
  <si>
    <t>Mental health status of Asian and Latino/Caribbean immigrants.</t>
  </si>
  <si>
    <t>Lv, Hua</t>
  </si>
  <si>
    <t>2010-99230-146</t>
  </si>
  <si>
    <t>Immigration; Mental Health; Social Issues; South Asian Cultural Groups; Latinos/Latinas; Life Span</t>
  </si>
  <si>
    <t>This study examines how the migration experience affects the mental health status of recent Asian and Latin American/Caribbean immigrants. It analyzes the relationship between stress among immigrants and their adaptation patterns. Specifically, this study focuses on the psycho-social transition processes associated with migration, examining how disruption of cultural norms, and restructured lifestyle may lead to stress, or other mental health difficulties. In addition, this study highlights 'transnationalism,' a newly defined adaptation pattern of recent immigrants, especially among Latin immigrants. It focuses on 'transnational activity' as a potential mediator of the relationship between immigration stressors and mental health outcomes among recent migrants from Asia and Latin America/Caribbean countries. Previous research has been largely dedicated to two aspects of immigrants' mental health status, post-traumatic stress disorder and acculturative related stress. This study includes both aspects, focusing on both the context of exit and the context of reception to analyze the factors associated with immigrants' mental health problems. Based on previous research, this study incorporates various theories and concepts, including stress theory, acculturation theory, the life course perspective and transnationalism to establish a synthetic model to explain mental health problems. Using the first wave data from New Immigrant Survey, this study includes a broad range of variables, employs logistic regression to examine the effects of pre-migration experiences and post-migration trajectories on symptoms of depression and distress among Asian and Latin American/Caribbean immigrants. Statistical results show that in general Asian immigrants have slightly better mental health than Latino/Caribbean immigrants. Socioeconomic status, gender, pre-migration persecution, social support, acculturation, transnationalism, and sub-ethnicity all predict symptoms of depression among immigrants with the exception of the age at arrival in the U.S. The effects of factors examined in this study vary slightly across ethnic groups. Future research should use longitudinal data in order to track the long-term effects and the patterns of immigrants' incorporation and their mental health status. In addition, the development of more synthetic theories and key concepts are suggested to better understand how the post migration trajectories of each sub-ethnic group within Asian and Latino/Caribbean immigrants' populations are related with their mental health status. (PsycINFO Database Record (c) 2016 APA, all rights reserved)</t>
  </si>
  <si>
    <t>http://search.ebscohost.com.proxy-ub.rug.nl/login.aspx?direct=true&amp;db=psyh&amp;AN=2010-99230-146&amp;site=ehost-live&amp;scope=site</t>
  </si>
  <si>
    <t>Mental health, life stress and social support among young Norwegian adolescents with immigrant and host national background.</t>
  </si>
  <si>
    <t>Oppedal, Brit; Røysamb, Espen</t>
  </si>
  <si>
    <t>2004-11521-006</t>
  </si>
  <si>
    <t>10.1111/j.1467-9450.2004.00388.x</t>
  </si>
  <si>
    <t>Human Sex Differences; Mental Health; Protective Factors; Social Support; Stress; Adolescent Development; Immigration; Risk Factors; Adolescence (13-17 yrs); Male; Female</t>
  </si>
  <si>
    <t>The first aim of the study was to investigate differences in level of mental health, life stress and social support among adolescents with immigrant and domestic background. A second aim was to identify culture group and gender specific sources of risk and protective factors and their relation to mental health. Questionnaire data were collected from 633 students, aged 13, in Oslo, Norway. Immigrant adolescents reported higher level of psychological distress and lower social support than host students. Of the four gender-culture groups, immigrant boys reported the highest level of problems, with a 28% prevalence of anxiety/depression. There were no significant differences in prevalence among the girls. Specific patterns of relationships between life stress, support, and mental health were found across gender and culture. The results were discussed within a framework of culture differences in values and gender role expectancies, underscoring the importance of studying each gender/culture group separately. (PsycINFO Database Record (c) 2016 APA, all rights reserved)</t>
  </si>
  <si>
    <t>http://search.ebscohost.com.proxy-ub.rug.nl/login.aspx?direct=true&amp;db=psyh&amp;AN=2004-11521-006&amp;site=ehost-live&amp;scope=site</t>
  </si>
  <si>
    <t>Mexican Immigrants and the Use of Cognitive Assessment Techniques in Questionnaire Development.</t>
  </si>
  <si>
    <t>Agans, Robert P.; Deeb-Sossa, Natalia; Kalsbeek, William D.</t>
  </si>
  <si>
    <t>2006-05061-003</t>
  </si>
  <si>
    <t>10.1177/0739986305285826</t>
  </si>
  <si>
    <t>Cognitive Assessment; Health; Immigration; Mexican Americans; Test Construction; Human Females; Adulthood (18 yrs &amp; older); Young Adulthood (18-29 yrs); Thirties (30-39 yrs); Middle Age (40-64 yrs); Female</t>
  </si>
  <si>
    <t>The aim of this article is to identify the measurement challenges involved in obtaining sensitive health outcomes from Mexican women in both settled and unsettled segments of the United States population and to suggest how cognitive assessment techniques might be better employed to construct culturally and linguistically appropriate survey instruments. These objectives will be illustrated through a project with recent Mexican immigrants in North Carolina that constructs items to measure last menstrual period--an important indicator in gauging the gestational age of a fetus. Guidelines for conducting focus groups and cognitive interviews with this population are emphasized. (PsycINFO Database Record (c) 2016 APA, all rights reserved)</t>
  </si>
  <si>
    <t>http://search.ebscohost.com.proxy-ub.rug.nl/login.aspx?direct=true&amp;db=psyh&amp;AN=2006-05061-003&amp;site=ehost-live&amp;scope=site</t>
  </si>
  <si>
    <t>Mexican migrant integration in the United States, 1965–2015.</t>
  </si>
  <si>
    <t>2019-39058-005</t>
  </si>
  <si>
    <t>10.1177/0002716219856878</t>
  </si>
  <si>
    <t>Acculturation; Human Migration; Immigration; Adulthood (18 yrs &amp; older); Male; Female</t>
  </si>
  <si>
    <t>This article uses 20 years of survey data from the Mexican Migration Project to describe how the experiences of Mexico-U.S. migrants have changed over time. I use survey questions about migrants’ experiences on their last U.S. trip to develop composite indices of six integration domains, and then estimate random intercept linear regression models with individual-, family-, and community-level characteristics to explain variations in Mexican migrant integration. I find that, over time, Mexican migrant linguistic and social integration has steadily increased, whereas integration in other family and economic domains changed little or not at all. Results from the multivariate models show the importance of human capital to integration across the multiple domains. Higher education, more time spent in the country of destination, and being male are all strongly associated with higher levels of integration. I also find evidence that both family and community migration networks facilitate integration. (PsycInfo Database Record (c) 2020 APA, all rights reserved)</t>
  </si>
  <si>
    <t>http://search.ebscohost.com.proxy-ub.rug.nl/login.aspx?direct=true&amp;db=psyh&amp;AN=2019-39058-005&amp;site=ehost-live&amp;scope=site</t>
  </si>
  <si>
    <t>Mexican-origin youth’s cultural orientations and adjustment: Changes from early to late adolescence.</t>
  </si>
  <si>
    <t>Updegraff, Kimberly A.; Umaña‐Taylor, Adriana J.; McHale, Susan M.; Wheeler, Lorey A.; Perez‐Brena, Norma J.</t>
  </si>
  <si>
    <t>2012-24983-016</t>
  </si>
  <si>
    <t>10.1111/j.1467-8624.2012.01800.x</t>
  </si>
  <si>
    <t>Adolescent Development; Immigration; Social Adjustment; Sociocultural Factors; Childhood (birth-12 yrs); School Age (6-12 yrs); Adolescence (13-17 yrs); Adulthood (18 yrs &amp; older); Young Adulthood (18-29 yrs); Male; Female</t>
  </si>
  <si>
    <t>Drawing from developmental and cultural adaptation perspectives and using a longitudinal design, this study examined: (a) mean-level changes in Mexican-origin adolescents’ cultural orientations and adjustment from early to late adolescence and (b) bidirectional associations between cultural orientations and adjustment using a cross-lag panel model. Participants included 246 Mexican-origin, predominantly immigrant families that participated in home interviews and a series of nightly phone calls when target adolescents were 12 and 18 years of age. Girls exhibited more pronounced declines in traditional gender role attitudes than did boys, and all youth declined in familism values, time spent with family, and involvement in Mexican culture. Bidirectional relations between cultural orientations and adjustment emerged, and some associations were moderated by adolescent nativity and gender. (PsycINFO Database Record (c) 2016 APA, all rights reserved)</t>
  </si>
  <si>
    <t>http://search.ebscohost.com.proxy-ub.rug.nl/login.aspx?direct=true&amp;db=psyh&amp;AN=2012-24983-016&amp;site=ehost-live&amp;scope=site</t>
  </si>
  <si>
    <t>Migrant worker acculturation in China.</t>
  </si>
  <si>
    <t>Gui, Yongxia; Berry, John W.; Zheng, Yong</t>
  </si>
  <si>
    <t>2011-30443-001</t>
  </si>
  <si>
    <t>10.1016/j.ijintrel.2011.11.007</t>
  </si>
  <si>
    <t>Employment Status; Human Migration; Life Satisfaction; Self-Concept; Social Identity; Acculturation; Immigration; Urban Environments; Adolescence (13-17 yrs); Adulthood (18 yrs &amp; older); Young Adulthood (18-29 yrs); Thirties (30-39 yrs); Middle Age (40-64 yrs); Male; Female</t>
  </si>
  <si>
    <t>Chinese migrant workers form a substantial body of people who move to large cities from rural areas to seek employment. As they settle into the large urban cities, these internal migrants experience challenges that are similar to those of international migrants, and of members of ethnic groups who engage in the process of acculturation. Many see this flow as a problem, one that needs to be understood through research using evidence based on concepts and methods used in international acculturation research. In the present study, we examine the Urban Identity of 787 migrants, using the Migrant Workers’ Urban Identity Questionnaire developed by Gui (2010). This instrument distinguishes two aspects of urban identity: social identity and place identity. In addition, 328 of these respondents were tested with the Satisfaction with Life Scale (Diener, Emmons, Larson, &amp; Griffin, 1985) and the Global Self-Worth Scale (Huang &amp; Yang, 1998). Findings show that the acculturation strategies model based on international immigrants’ identity can apply to the seasonal migrant workers’ identity. With respect to their acculturation strategies: (1) different operationalisations of the second dimension in the two dimension model lead to a different classification of acculturation strategies; the ‘deeper’ the psychological phenomena the less migrant workers want to engage the national society; (2) different acculturation strategies were favored in social identity and place identity domains; (3) data from the Satisfaction with Life Scale and the Global Self-Worth Scale shows, by and large, that integration is the best acculturation strategy (and the marginalization the worst) for achieving wellbeing in both social identity and in place identity. This corresponds to findings and conclusions of much of the previous research on acculturation based on international migration. (PsycINFO Database Record (c) 2016 APA, all rights reserved)</t>
  </si>
  <si>
    <t>http://search.ebscohost.com.proxy-ub.rug.nl/login.aspx?direct=true&amp;db=psyh&amp;AN=2011-30443-001&amp;site=ehost-live&amp;scope=site</t>
  </si>
  <si>
    <t>Migration and career success: Testing a time-sequenced model.</t>
  </si>
  <si>
    <t>Tharmaseelan, Nithya; Inkson, Kerr; Carr, Stuart C.</t>
  </si>
  <si>
    <t>The Career Development International</t>
  </si>
  <si>
    <t>2010-13602-001</t>
  </si>
  <si>
    <t>10.1108/13620431011053712</t>
  </si>
  <si>
    <t>Career Development; Human Capital; Human Migration; Self-Management; Social Integration; Models; Motivation; Time; Adulthood (18 yrs &amp; older); Male; Female</t>
  </si>
  <si>
    <t>Purpose: The paper seeks to determine whether different aspects of migrant pre-migration characteristics (human capital and motivation to migrate) and post-migration behavior (social integration and career self-management) predict migrants’ post-migration career success. Design/methodology/approach: The research employed a survey questionnaire applied to a sample of 210 migrants who had migrated from Sri Lanka to New Zealand. Twenty-three independent and three dependent (career success—objective and subjective) variables were measured. Sequential multiple regression analysis was applied, mirroring the time-sequenced theory of career development. Findings: Overall, migrants’ occupational status had declined markedly following migration. Variables representing human capital, social integration and career self-management perspectives all contributed substantially to explaining variances in career success, especially objective career success, but motivation to migrate did not. Human capital variables were especially influential in determining pre-migration success, acculturation in the host country and education in the host country in post-migration success. Effects of career self-management behaviors on success were relatively small. Research limitations/implications: A limitation is the cross-sectional design, and possible non-generalisability beyond a single migrant group and host country. Practical implications: The paper discusses implications for migrants, policy makers and future research. Originality/value: Migration, and interest in research on migrants’ careers, is growing. This paper applies a wide range of predictor variables and a logical causal model to predicting migrant career success, indicates significant effects, and points to positive actions that may be taken by government, organizations and migrants. (PsycINFO Database Record (c) 2017 APA, all rights reserved)</t>
  </si>
  <si>
    <t>http://search.ebscohost.com.proxy-ub.rug.nl/login.aspx?direct=true&amp;db=psyh&amp;AN=2010-13602-001&amp;site=ehost-live&amp;scope=site</t>
  </si>
  <si>
    <t>Migration and depression: A cross-national comparison of Mexicans in sending communities and Durham, NC.</t>
  </si>
  <si>
    <t>Gutierrez-Vazquez, Edith; Flippen, Chenoa; Parrado, Emilio</t>
  </si>
  <si>
    <t>2018-60155-002</t>
  </si>
  <si>
    <t>10.1016/j.socscimed.2018.09.064</t>
  </si>
  <si>
    <t>Acculturation; Human Migration; Major Depression; Marital Separation; Stress; Family; Mental Health; Protective Factors; Risk Factors; Social Isolation; Social Support; Family Separation; Adulthood (18 yrs &amp; older); Male; Female</t>
  </si>
  <si>
    <t>Rationale: Latino immigrants have been shown to average better health and longevity than native whites, in spite of their relative socioeconomic disadvantage. However, mental health outcomes stand in stark contrast to this epidemiological 'paradox,' as factors such as depression are significantly higher for Latino immigrants than other groups. Objective: We explore the link between migration and depressive feelings using a binational random survey of Mexicans in Durham, NC and sending communities in Mexico. Method: Explanations for the link between migration and depression, such as acculturative stress, lack of social support, and powerlessness and isolation, are analyzed by comparing results for protective vs. risk factors between residents of Mexico and Durham, and among immigrants themselves. Besides, selection hypothesis is explored using propensity matching scores. Results: Results show little support for selection as an important source of migrant depression, and instead provide strong evidence that migration itself, and the disruption of social networks that it entails, is primarily responsible for the association. Family separation, in particular, is the strongest predictor of depressive feelings and accounts for a sizeable portion of the heightened depression among migrants. Conclusions: Understanding the subjective experiences of migration is necessary to better integrate newcomers into host societies. (PsycInfo Database Record (c) 2020 APA, all rights reserved)</t>
  </si>
  <si>
    <t>http://search.ebscohost.com.proxy-ub.rug.nl/login.aspx?direct=true&amp;db=psyh&amp;AN=2018-60155-002&amp;site=ehost-live&amp;scope=site</t>
  </si>
  <si>
    <t>Migration and Gender among Mexican Women.</t>
  </si>
  <si>
    <t>Parrado, Emilio A.; Flippen, Chenoa A.</t>
  </si>
  <si>
    <t>American Sociological Review</t>
  </si>
  <si>
    <t>2005-10245-004</t>
  </si>
  <si>
    <t>10.1177/000312240507000404</t>
  </si>
  <si>
    <t>Acculturation; Human Females; Human Migration; Male Female Relations; Social Support; Sociocultural Factors; Adulthood (18 yrs &amp; older); Young Adulthood (18-29 yrs); Thirties (30-39 yrs); Middle Age (40-64 yrs); Female</t>
  </si>
  <si>
    <t>Despite their importance to women's empowerment and migrant adaptation more generally, the social and cultural processes that determine how gender relations and expectations evolve during the process of migration remain poorly understood. In this article, data from a survey conducted in Durham, North Carolina and four sending communities in Mexico are used to examine how the structures of labor, power, and emotional attachments within the family vary by migration and U.S. residency, women's human capital endowments, household characteristics, and social support. Using both quantitative and qualitative information, the main finding of the study is that the association between migration and gender relations is not uniform across different gender dimensions. The reconstruction of gender relations within the family at the place of destination is a dynamic process in which some elements brought from communities of origin are discarded, others are modified, and still others are reinforced. Results challenge the expectation that migrant women easily incorporate the behavior patterns and cultural values of the United States and illustrate the importance of selective assimilation for understanding the diversity of changes in gender relations that accompany migration. (PsycINFO Database Record (c) 2016 APA, all rights reserved)</t>
  </si>
  <si>
    <t>http://search.ebscohost.com.proxy-ub.rug.nl/login.aspx?direct=true&amp;db=psyh&amp;AN=2005-10245-004&amp;site=ehost-live&amp;scope=site</t>
  </si>
  <si>
    <t>Migration and psychological well-being among older adults: A growth curve analysis based on panel data from the Health and Retirement Study, 1996-2006.</t>
  </si>
  <si>
    <t>Bradley, Don E.; Van Willigen, Marieke</t>
  </si>
  <si>
    <t>Journal of Aging and Health</t>
  </si>
  <si>
    <t>2010-20707-003</t>
  </si>
  <si>
    <t>10.1177/0898264310368430</t>
  </si>
  <si>
    <t>Aging; Health; Immigration; Retirement; Well Being; Age Differences; Adulthood (18 yrs &amp; older); Male; Female</t>
  </si>
  <si>
    <t>Purpose: A vibrant body of research examines migration among older adults. Existing research, however, grants scarce attention to the implications of later-life migration for the migrants themselves. Our research focuses on the impacts of migration on depressive symptomatology among older U.S. adults. Methods: Our analysis employs six waves of panel data from the Health and Retirement Study, 1996-2006. Growth curve modeling techniques are employed. Results: Net of other stressful life events, migration effects appear to vary significantly across persons. Findings highlight the particularly depressive impact of moves motivated by negative life events or circumstances. Results further suggest that later life moves may be especially stressful for women and as individuals age. Discussion: The stress of moving late in life may depend on social integration at destination. Further research should pursue this issue. Study limitations and additional directions for further research are delineated. (PsycINFO Database Record (c) 2016 APA, all rights reserved)</t>
  </si>
  <si>
    <t>http://search.ebscohost.com.proxy-ub.rug.nl/login.aspx?direct=true&amp;db=psyh&amp;AN=2010-20707-003&amp;site=ehost-live&amp;scope=site</t>
  </si>
  <si>
    <t>Migration processes and self-rated health among marriage migrants in South Korea.</t>
  </si>
  <si>
    <t>Chang, Hsin-Chieh; Wallace, Steven P.</t>
  </si>
  <si>
    <t>2015-51312-002</t>
  </si>
  <si>
    <t>10.1080/13557858.2014.992299</t>
  </si>
  <si>
    <t>Health; Immigration; Marriage; Social Integration; Socioeconomic Status; Adulthood (18 yrs &amp; older); Female</t>
  </si>
  <si>
    <t>Background. Research on migrant health mostly examines labor migrants, with some attention paid to the trauma faced by refugees. Marriage migrants represent an understudied vulnerable population in the migration and health literature. Objectives. Drawing on a Social Determinants of Health (SDH) approach, we use a large Korean national survey and stratified multivariate regressions to examine the link between migration processes and the self-rated health of Korea's three largest ethnic groups of marriage migrants: Korean-Chinese, Vietnamese, and Han Chinese. Results. We find that post-migration socioeconomic status and several social integration factors are associated with the health of marriage migrants of all three groups. Specifically, having more social relationships with Koreans is associated with good health among marriage migrants, while having more social relationships with co-ethnics is associated with worse health. Marriage migrants' perceived social status of their natal and marital families is a better predictor of their health than more objective measures such as their education attainment and that of their Korean husbands. The post-migration social gradients among all ethnic groups demonstrate a dose-response effect of marital family's social standing on marriage migrants' health, independent of their own education and the social standing of their natal families. Lastly, we find some ethnicity-specific predictors such as the association between higher educational level and worse health status among the Vietnamese. This variability by group suggests a more complex set of SDH occurred during the marriage migration processes than a basic SDH framework would predict. Conclusion. Using a new immigrant destination, South Korea, as an example, we conclude that migration and health policies that reduce ethnicity-specific barriers and offer integration programs in early post-migration stages may offer a pathway to good health among marriage migrants. (PsycINFO Database Record (c) 2017 APA, all rights reserved)</t>
  </si>
  <si>
    <t>http://search.ebscohost.com.proxy-ub.rug.nl/login.aspx?direct=true&amp;db=psyh&amp;AN=2015-51312-002&amp;site=ehost-live&amp;scope=site</t>
  </si>
  <si>
    <t>Migration surrogates and their association with obesity among within-country migrants.</t>
  </si>
  <si>
    <t>Bernabe-Ortiz, Antonio; Gilman, Robert H.; Smeeth, Liam; Miranda, J. Jaime</t>
  </si>
  <si>
    <t>Obesity</t>
  </si>
  <si>
    <t>2010-22623-023</t>
  </si>
  <si>
    <t>10.1038/oby.2010.92</t>
  </si>
  <si>
    <t>Nature Publishing Group</t>
  </si>
  <si>
    <t>Acculturation; Human Migration; Obesity; Urban Environments; Countries; Adulthood (18 yrs &amp; older); Thirties (30-39 yrs); Middle Age (40-64 yrs); Aged (65 yrs &amp; older); Very Old (85 yrs &amp; older); Male; Female</t>
  </si>
  <si>
    <t>Limited studies have evaluated the link between acculturation and health outcomes of within-country migrants. The objective of this study was to evaluate whether well-known acculturation surrogates were associated with obesity among Peruvian rural-to-urban migrants. We performed a cross-sectional survey, the PERU MIGRANT study, using single-stage random sampling. Evaluation included weight, height, and waist circumference (WC) as well as acculturation surrogates. Obesity was assessed using BMI and WC. Length of residence, age at migration, language proficiency, and language preferences (Spanish or Quechua) were assessed in logistic regression models to calculate odd ratios and 95% confidence intervals adjusting for potential confounders. A total of 589 rural-to-urban migrants were enrolled. The mean age was 47.8 (s.d.: 11.7, range: 30–92), and 280 (47.5%) were men. Obesity prevalence assessed using BMI was 30.4% among women and 10.7% among men (P &lt; 0.001), whereas abdominal obesity assessed using WC was 29.1% among women and 19.1% among men (P &lt; 0.01). Obesity was associated with older age at first migration, language speaking proficiency, and language preferences. The association between obesity and acculturation surrogates is variable in this population. Thus, acculturation per se can explore positive channels associated with better health outcomes. The patterns shown in this report suggest a more complex association for these factors. (PsycINFO Database Record (c) 2016 APA, all rights reserved)</t>
  </si>
  <si>
    <t>http://search.ebscohost.com.proxy-ub.rug.nl/login.aspx?direct=true&amp;db=psyh&amp;AN=2010-22623-023&amp;site=ehost-live&amp;scope=site</t>
  </si>
  <si>
    <t>Mindsets about language learning and support for immigrants’ integration.</t>
  </si>
  <si>
    <t>Lou, Nigel Mantou; Noels, Kimberly A.</t>
  </si>
  <si>
    <t>2020-86191-006</t>
  </si>
  <si>
    <t>10.1016/j.ijintrel.2020.08.003</t>
  </si>
  <si>
    <t>Foreign Language Learning; Human Migration; Immigration; Social Integration; Theories; Adulthood (18 yrs &amp; older); Male; Female</t>
  </si>
  <si>
    <t>People rely on their lay theories, or mindsets, to make meaning of their experience in intercultural contact. Given that proficiency in the local language is a crucial social marker of immigrants’ integration, we argue that language mindsets (i.e., beliefs about whether language learning ability is fixed or changeable) guide members of the receiving society to make inferences about immigrants’ language ability (e.g., 'can immigrants improve their language ability?'). This social inference, in turn, predicts their willingness to interact with immigrants and support immigrants’ language education. In a correlational study (n = 231) and an experimental study (n = 106), we investigated whether and how language mindsets influence participants’ support for immigrants’ intercultural contact. We found that trait and experimentally-induced fixed (vs. growth) mindsets led to negative judgments of immigrants’ potential to develop their skills in the local language, which in turn predicted avoidance of contact with migrants and opposition to governmental funding of immigrants’ language education. The effects held even after controlling for participants’ political orientations, perceived difficulties of the English language, and judgments of target immigrants’ language fluency. These findings suggest that promoting growth mindsets about language ability can lead to more positive intercultural attitudes that impact the acceptance of migrants. We discussed the implications of language mindsets for understanding the processes of intercultural communication and forming positive intercultural relations. (PsycInfo Database Record (c) 2021 APA, all rights reserved)</t>
  </si>
  <si>
    <t>http://search.ebscohost.com.proxy-ub.rug.nl/login.aspx?direct=true&amp;db=psyh&amp;AN=2020-86191-006&amp;site=ehost-live&amp;scope=site</t>
  </si>
  <si>
    <t>Minority paradoxes: Ethnic differences in self-reported offending and official crime statistics.</t>
  </si>
  <si>
    <t>Leerkes, Arjen; Martinez, Ramiro; Groeneveld, Pim</t>
  </si>
  <si>
    <t>British Journal of Criminology</t>
  </si>
  <si>
    <t>2019-12933-009</t>
  </si>
  <si>
    <t>10.1093/bjc/azy021</t>
  </si>
  <si>
    <t>Crime; Ethnic Identity; Immigration; Law Enforcement; Acculturation; Self-Report; Test Construction; Adolescence (13-17 yrs); Adulthood (18 yrs &amp; older); Young Adulthood (18-29 yrs); Thirties (30-39 yrs); Middle Age (40-64 yrs); Male; Female</t>
  </si>
  <si>
    <t>Immigrants and their native-born children tend to be overrepresented among crime suspects in Europe. Using a representative Dutch survey, we examine whether inhabitants of Turkish and Moroccan origin also self-report more crimes than the native Dutch. In addition, we test various explanations for ethnic differences in crime, partly using variables that are unavailable in administrative data (socio-economic status [SES], perceived discrimination, neighbourhood disadvantage and control, family bonds, religiousness). We discover two ‘minority paradoxes’. Firstly, contrary to analyses using administrative data, both minorities have similar to lower self-reported crime rates compared to the majority group when age, sex, urbanization, SES and social desirability are controlled. Secondly, first-generation immigrants report fewer crimes than expected given their social disadvantage, thus indicating a notable ‘righteous migrant effect’. (PsycINFO Database Record (c) 2019 APA, all rights reserved)</t>
  </si>
  <si>
    <t>http://search.ebscohost.com.proxy-ub.rug.nl/login.aspx?direct=true&amp;db=psyh&amp;AN=2019-12933-009&amp;site=ehost-live&amp;scope=site</t>
  </si>
  <si>
    <t>Minority population group status and QOL change: the case of older Israelis.</t>
  </si>
  <si>
    <t>Damri, Noam; Litwin, Howard</t>
  </si>
  <si>
    <t>European Journal of Ageing</t>
  </si>
  <si>
    <t>2016-43831-001</t>
  </si>
  <si>
    <t>10.1007/s10433-016-0396-x</t>
  </si>
  <si>
    <t>Aging; Minority Groups; Population; Quality of Life; Status; Adulthood (18 yrs &amp; older); Middle Age (40-64 yrs); Aged (65 yrs &amp; older); Male; Female</t>
  </si>
  <si>
    <t>This study explores minority group status in relation to change in quality of life (QOL) among three population groups in Israel—Veteran-Jews, Arab–Israelis, and immigrants from the Former Soviet Union (FSU)—controlling for a set of known predictors. The study uses panel data from two waves (2009/10 and 2013) of the Israeli component of the Survey of Health, Ageing, and Retirement in Europe, (N = 1590). A set of Ordinary Least Squares regressions is used to predict positive QOL change over the two waves. Interaction terms in a number of selected areas are considered. The results show that minority group status (Arab–Israelis and FSU immigrants) is negatively related to positive QOL change, compared to the majority group (veteran-Jews). Moreover, being employed was found to improve QOL for older FSU immigrants, underscoring the realm of work in the well-being of this population group. In comparison, it was exchange with family members that had a positive effect on QOL change among the Arab–Israelis, emphasizing the importance of that particular aspect of their lives in older age. In sum, the results highlight the risk of minority group status to well-being in late life and confirm the observation that positive QOL change correlates with characteristically different factors among different population groups. (PsycINFO Database Record (c) 2016 APA, all rights reserved)</t>
  </si>
  <si>
    <t>http://search.ebscohost.com.proxy-ub.rug.nl/login.aspx?direct=true&amp;db=psyh&amp;AN=2016-43831-001&amp;site=ehost-live&amp;scope=site</t>
  </si>
  <si>
    <t>Mobility, risk tolerance and competence to manage risks.</t>
  </si>
  <si>
    <t>Williams, Allan M.; Baláž, Vladimír</t>
  </si>
  <si>
    <t>Journal of Risk Research</t>
  </si>
  <si>
    <t>2014-31322-007</t>
  </si>
  <si>
    <t>10.1080/13669877.2013.841729</t>
  </si>
  <si>
    <t>Competence; Human Migration; Risk Management; Social Mobility; Tolerance; Uncertainty; Adulthood (18 yrs &amp; older); Young Adulthood (18-29 yrs); Thirties (30-39 yrs); Middle Age (40-64 yrs); Aged (65 yrs &amp; older); Male; Female</t>
  </si>
  <si>
    <t>Migration is a risky behaviour because of the uncertainty about future wages, living conditions, changing relationships with family and friends and cultural adjustment. While there has been some research on risk and uncertainty in migration, this has mostly been approached as a form of ‘rational’ decision-making: such approaches explain why some groups of individuals are more likely than others to migrate, but are limited in explaining individual variations in behaviour within these groups. Individual migrants vs. non-migrants are self-selected in terms of tolerance of risk and uncertainty but, with very few exceptions, there has been no research on migration within the framework of risk tolerance/aversion and competence to manage risk. Moreover, existing research is based on, and constrained by the limitations of, incumbent data-sets. Drawing on a specially commissioned large-scale survey of the UK population, this paper uses principal component analysis and logistic regression to analyse the extent to which risk and risk-related measures can be used to predict four different types of mobility profiles. There are significant associations between these individual mobility characteristics and general risk/uncertainty tolerance, and competence-based tolerance. These are strongest in terms of the two most polarised mobility types: the least mobile, the Stayers, and the most mobile, the Roamers. Recognising that previous migration is exogenous, a further analysis of migration intentions, with previous migration included as an independent variable, finds the propensity for future migration is, in fact, negatively associated with previous migration, probably due to the importance of ‘pure risk’ as opposed to acquired competence via migration experience, and to life cycle considerations. (PsycINFO Database Record (c) 2016 APA, all rights reserved)</t>
  </si>
  <si>
    <t>http://search.ebscohost.com.proxy-ub.rug.nl/login.aspx?direct=true&amp;db=psyh&amp;AN=2014-31322-007&amp;site=ehost-live&amp;scope=site</t>
  </si>
  <si>
    <t>Models of cultural adjustment for child and adolescent migrants to Australia: Internal process and situational factors.</t>
  </si>
  <si>
    <t>Sonderegger, Robi; Barrett, Paula M.; Creed, Peter A.</t>
  </si>
  <si>
    <t>2004-12874-008</t>
  </si>
  <si>
    <t>10.1023/B:JCFS.0000022040.37116.0e</t>
  </si>
  <si>
    <t>Acculturation; Adjustment; Cross Cultural Differences; Immigration; Social Stress; Chinese Cultural Groups; Models; Childhood (birth-12 yrs); School Age (6-12 yrs); Adolescence (13-17 yrs); Adulthood (18 yrs &amp; older); Young Adulthood (18-29 yrs); Male; Female</t>
  </si>
  <si>
    <t>Building on previous cultural adjustment profile work by Sonderegger and Barrett (2004), the aim of this study was to propose an organised structure for a number of single risk factors that have been linked to acculturative-stress in young migrants. In recognising that divergent situational characteristics (e.g., school level, gender, residential duration in Australia, social support, and cultural predisposition) are selectively paired with internal processing characteristics (e.g., emotional stability self-wortth/acceptance, acculturation/identity, and future outlook), a top-down path model of acculturative-stress for children and adolescents was proposed and validated. Self-report ratings obtained from primary (n = 131) and high school (n = 142) students of former-Yugoslavian and Chinese backgrounds were analysed for internal reliability. To determine goodness of model fit, path analysis utilising regression procedures was employed. Specific cross-cultural profiles are discussed. (PsycINFO Database Record (c) 2016 APA, all rights reserved)</t>
  </si>
  <si>
    <t>http://search.ebscohost.com.proxy-ub.rug.nl/login.aspx?direct=true&amp;db=psyh&amp;AN=2004-12874-008&amp;site=ehost-live&amp;scope=site</t>
  </si>
  <si>
    <t>Moderators of acculturative stress in Pakistani immigrants: The role of personal and social resources.</t>
  </si>
  <si>
    <t>Jibeen, Tahira</t>
  </si>
  <si>
    <t>2011-21458-001</t>
  </si>
  <si>
    <t>10.1016/j.ijintrel.2011.04.002</t>
  </si>
  <si>
    <t>Acculturation; Cross Cultural Differences; Immigration; Stress; Mental Health; Physical Health; Adulthood (18 yrs &amp; older); Young Adulthood (18-29 yrs); Thirties (30-39 yrs); Middle Age (40-64 yrs); Male; Female</t>
  </si>
  <si>
    <t>[Correction Notice: An erratum for this article was reported in Vol 35(6) of International Journal of Intercultural Relations (see record [rid]2011-27810-016[/rid]). In the original article, Dr. Khalid's name as the co-author has been missed. The correction affiliation should be as follows: Tahira Jibeena, Ruhi Khalidb. aCOMSATS Institute of Information Technology, Department of Humanities, Lahore, Pakistan; bDepartment of Psychology, Beacon House National University, Lahore, Pakistan; Corresponding author. E-mail addresses: tahiraimadali@hotmail.com, tahirajibeen@ciitlahore.edu.pk, rkhalid@bnu.edu.pk (R. Khalid).] International migration research has focused on the immigrants’ mental and physical health issues with little attention paid to factors that facilitate adjustment. Recently cross-cultural researchers have tended to focus on certain psychological and social moderators of stress that differentiate between migrants perceiving higher stress and those remaining relatively unscathed. The present study examined the moderating impact of coping resources (sense of coherence and perceived social support) and coping strategies (problem-focused and emotion-focused) on the relationship between acculturative stress and psychological wellbeing (positive functioning and negative health outcomes) in stress-coping model. On a final sample of 308 Pakistani immigrants residing in Greater Toronto Area a series of moderated hierarchical regression analyses were performed separately for positive and negative health outcomes. Results indicated that sense of coherence and perceived social support moderated between acculturative stress and positive functioning (self-acceptance, positive relations with others, autonomy, environmental mastery, purpose in life, personal growth), and acculturative stress and negative health outcomes (depression, psychosomatic symptoms, anxiety and insomnia, social dysfunction).The current findings have implications for clinicians, researchers, and policy makers for the identification of resource factors that help to understand the resistant power of growing immigrant population to maintain positive functioning. (PsycINFO Database Record (c) 2019 APA, all rights reserved)</t>
  </si>
  <si>
    <t>http://search.ebscohost.com.proxy-ub.rug.nl/login.aspx?direct=true&amp;db=psyh&amp;AN=2011-21458-001&amp;site=ehost-live&amp;scope=site</t>
  </si>
  <si>
    <t>Modern health worries in Pakistani immigrant women in Oslo, Norway.</t>
  </si>
  <si>
    <t>Hjellset, Victoria T.; Ihlebæk, Camilla</t>
  </si>
  <si>
    <t>2020-18646-006</t>
  </si>
  <si>
    <t>10.1016/j.ijintrel.2020.01.003</t>
  </si>
  <si>
    <t>Acculturation; Anxiety; Immigration; South Asian Cultural Groups; Educational Attainment Level; Adulthood (18 yrs &amp; older); Young Adulthood (18-29 yrs); Thirties (30-39 yrs); Middle Age (40-64 yrs); Aged (65 yrs &amp; older); Female</t>
  </si>
  <si>
    <t>Background: The main study objective was to investigate modern health worries (MHW) in a group of Pakistani immigrant women in Norway, and to compare it with a group of ethnic Norwegian women. A further aim was to examine differences in MHW with level of education and acculturation in this immigrant group. Methods: The Pakistani women (N = 101) completed a questionnaire to assess MHW and sociodemographic variables. MHW data were obtained via telephone interviews for the subsample of Norwegian women (N = 344). Results: The Pakistani women generally showed lower levels of MHW than did the ethnic Norwegian women. However, when stratified on education, the difference was mainly apparent in the low and middle educational groups. The Pakistani women with high levels of education tended to report higher levels of MHW than those with lower education levels. They reported significantly higher levels of worries about avian flu, radiation from computer screens, and vaccination programmes than did the ethnic Norwegian women on the same high educational level. Their different degrees of acculturation in the Norwegian society appeared to influence their levels of MHW, as the assimilated women showed the highest levels of MHW, whereas the separated women showed the lowest levels. Conclusions: The group of Pakistani immigrant women was very heterogeneous in terms of MHW, and health authorities and health care workers should therefor adapt health and risk information according to different levels of integration and education. (PsycInfo Database Record (c) 2020 APA, all rights reserved)</t>
  </si>
  <si>
    <t>http://search.ebscohost.com.proxy-ub.rug.nl/login.aspx?direct=true&amp;db=psyh&amp;AN=2020-18646-006&amp;site=ehost-live&amp;scope=site</t>
  </si>
  <si>
    <t>Mortality among US-born and immigrant Hispanics in the US: Effects of nativity, duration of residence, and age at immigration.</t>
  </si>
  <si>
    <t>Holmes, Julia S.; Driscoll, Anne K.; Heron, Melonie</t>
  </si>
  <si>
    <t>International Journal of Public Health</t>
  </si>
  <si>
    <t>2015-24566-001</t>
  </si>
  <si>
    <t>10.1007/s00038-015-0686-7</t>
  </si>
  <si>
    <t>Age Differences; Death and Dying; Immigration; Mortality Rate; Adulthood (18 yrs &amp; older); Young Adulthood (18-29 yrs); Thirties (30-39 yrs); Middle Age (40-64 yrs); Aged (65 yrs &amp; older); Male; Female</t>
  </si>
  <si>
    <t>Objectives: We examined the effects of duration of residence and age at immigration on mortality among US-born and foreign-born Hispanics aged 25 and older. Methods: We analyzed the National Health Interview Survey-National Death Index linked files from 1997–2009 with mortality follow-up through 2011. We used Cox proportional hazard models to examine the effects of duration of US residence and age at immigration on mortality for US-born and foreign-born Hispanics, controlling for various demographic, socioeconomic and health factors. Age at immigration included 4 age groups: &lt;18, 18–24, 25–34, and 35+ years. Duration of residence was 0–15 and &gt;15 years. Results: We observed a mortality advantage among Hispanic immigrants compared to US-born Hispanics only for those who had come to the US after age 24 regardless of how long they had lived in the US. Hispanics who immigrated as youths (&lt;18) did not differ from US-born Hispanics on mortality despite duration of residence.Conclusions: Findings suggest that age at immigration, rather than duration of residence, drives differences in mortality between Hispanic immigrants and the US-born Hispanic population. (PsycINFO Database Record (c) 2016 APA, all rights reserved)</t>
  </si>
  <si>
    <t>http://search.ebscohost.com.proxy-ub.rug.nl/login.aspx?direct=true&amp;db=psyh&amp;AN=2015-24566-001&amp;site=ehost-live&amp;scope=site</t>
  </si>
  <si>
    <t>Mother–child relations in adulthood within and across national borders: Non-Western immigrants in the Netherlands.</t>
  </si>
  <si>
    <t>Rooyackers, Ilse N.; De Valk, Helga A. G.; Merz, Eva-Maria</t>
  </si>
  <si>
    <t>Ageing &amp; Society</t>
  </si>
  <si>
    <t>2016-47776-004</t>
  </si>
  <si>
    <t>10.1017/S0144686X15000823</t>
  </si>
  <si>
    <t>Family; Immigration; Intergenerational Relations; Mother Child Relations; Latent Class Analysis; Social Support; Adulthood (18 yrs &amp; older); Young Adulthood (18-29 yrs); Thirties (30-39 yrs); Middle Age (40-64 yrs); Aged (65 yrs &amp; older); Male; Female</t>
  </si>
  <si>
    <t>We examined structures of (trans)national mother–child relationships in adulthood among non-Western immigrants in the Netherlands and assessed how acculturation impacted these intergenerational ties. From the Netherlands Kinship Panel Study, Turkish, Moroccan, Surinamese and Antillean respondents were selected whose mother lived in the Netherlands (N = 360) or abroad (N = 316). First, extending a previous typology of immigrant mother–child relations in the Netherlands, Latent Class Analysis was conducted for transnational relations. As expected, combining information about given and/or received emotional and financial support resulted in an emotional-interdependent and detached transnational mother–child relationship. Second, acculturation effects were estimated by using relationship assignment as a dependent variable, performing Logistic Regressions on our uni-national and transnational sample. Findings were mixed, suggesting acculturation impacts differently on family relations within and across borders. Overall, our results demonstrate the importance of reciprocal affective ties in a transnational context, also in the absence of financial or practical support, and show the relevance of distinguishing different facets of acculturation. (PsycINFO Database Record (c) 2019 APA, all rights reserved)</t>
  </si>
  <si>
    <t>http://search.ebscohost.com.proxy-ub.rug.nl/login.aspx?direct=true&amp;db=psyh&amp;AN=2016-47776-004&amp;site=ehost-live&amp;scope=site</t>
  </si>
  <si>
    <t>Mother-infant person- and object-directed interactions in Latino immigrant families: A comparative approach.</t>
  </si>
  <si>
    <t>Cote, Linda R.; Bornstein, Marc H.; Haynes, O. Maurice; Bakeman, Roger</t>
  </si>
  <si>
    <t>Infancy</t>
  </si>
  <si>
    <t>2009-08911-003</t>
  </si>
  <si>
    <t>10.1080/15250000802189386</t>
  </si>
  <si>
    <t>Cross Cultural Differences; Dyads; Immigration; Infant Development; Mother Child Relations; Family; Latinos/Latinas; Childhood (birth-12 yrs); Infancy (2-23 mo); Adulthood (18 yrs &amp; older); Male; Female</t>
  </si>
  <si>
    <t>Cultural variation in durations, relations, and contingencies of mother–infant person and object-directed behaviors were examined for 121 nonmigrant Latino mother–infant dyads in South America, Latina immigrants from South America and their infants living in the United States, and European American mother–infant dyads. Nonmigrant Latina mothers and infants engaged in person-directed behaviors longer than Latino immigrant or European American mothers and infants. Mother and infant person-directed behaviors were positively related; mother and infant object-related behaviors were related for some cultural groups but not others. Nearly all mother and infant behaviors were mutually contingent. Mothers were more responsive to infants’ behaviors than infants were to mothers. Some cultural differences in responsiveness emerged. Immigrant status has a differentiated role in mother–infant interactions. (PsycINFO Database Record (c) 2016 APA, all rights reserved)</t>
  </si>
  <si>
    <t>http://search.ebscohost.com.proxy-ub.rug.nl/login.aspx?direct=true&amp;db=psyh&amp;AN=2009-08911-003&amp;site=ehost-live&amp;scope=site</t>
  </si>
  <si>
    <t>Moving toward more conclusive measures of sociocultural adaptation for ethnically diverse adolescents in England.</t>
  </si>
  <si>
    <t>Bowe, Anica G.</t>
  </si>
  <si>
    <t>Canadian Journal of School Psychology</t>
  </si>
  <si>
    <t>2019-09146-004</t>
  </si>
  <si>
    <t>10.1177/0829573517739392</t>
  </si>
  <si>
    <t>Adaptation; Immigration; Minority Groups; Racial and Ethnic Groups; Teacher Attitudes; Race and Ethnic Discrimination; Sociocultural Factors; Adolescent Characteristics; Adolescence (13-17 yrs); Male; Female</t>
  </si>
  <si>
    <t>This study is part of a larger initiative toward understanding the acculturation of immigrant adolescents using the Longitudinal Study of Young People in England 2004-2010 database. A necessary step in using a database for cross-ethnic comparisons is first to verify whether its items and scales are equivalent. I examined item- and scale-level differential functioning (DF; n = 4,663, six ethnic minority groups) on four of the database’s sociocultural scales: Feelings About School (11 items), Relational Family Efficacy (four items), Being Bullied (five items), and Perceived Teacher Discrimination (four items) using an item response theory (IRT)–based framework. Findings demonstrated no meaningful DF on items and, in most cases, scales as well. Second, distinct ethnic group patterns are present. Third, the Perceived Teacher Discrimination scale was not functioning for the majority of the ethnic minority groups which is of grave concern. Implications for future comparative studies and immigration policy makers are discussed. (PsycInfo Database Record (c) 2020 APA, all rights reserved)</t>
  </si>
  <si>
    <t>http://search.ebscohost.com.proxy-ub.rug.nl/login.aspx?direct=true&amp;db=psyh&amp;AN=2019-09146-004&amp;site=ehost-live&amp;scope=site</t>
  </si>
  <si>
    <t>Multidimensional measure of immigrant integration.</t>
  </si>
  <si>
    <t>Harder, Niklas; Figueroa, Lucila; Gillum, Rachel M.; Hangartner, Dominik; Laitin, David D.; Hainmueller, Jens</t>
  </si>
  <si>
    <t>2018-63290-015</t>
  </si>
  <si>
    <t>10.1073/pnas.1808793115</t>
  </si>
  <si>
    <t>Acculturation; Economy; Immigration; Social Integration; Society</t>
  </si>
  <si>
    <t>The successful integration of immigrants into a host country’s society, economy, and polity has become a major issue for policymakers in recent decades. Scientific progress in the study of immigrant integration has been hampered by the lack of a common measure of integration, which would allow for the accumulation of knowledge through comparison across studies, countries, and time. To address this fundamental problem, we propose the Immigration Policy Lab (IPL) Integration Index as a pragmatic and multidimensional measure of immigrant integration. The measure, both in the 12-item short form (IPL-12) and the 24-item long form (IPL-24), captures six dimensions of integration: psychological, economic, political, social, linguistic, and navigational. The measure can be used across countries, over time, and across different immigrant groups and can be administered through short questionnaires available in different modes. We report on four surveys we conducted to evaluate the empirical performance of our measure. The tests reveal that the measure distinguishes among immigrant groups with different expected levels of integration and also correlates with well-established predictors of integration. (PsycINFO Database Record (c) 2019 APA, all rights reserved)</t>
  </si>
  <si>
    <t>http://search.ebscohost.com.proxy-ub.rug.nl/login.aspx?direct=true&amp;db=psyh&amp;AN=2018-63290-015&amp;site=ehost-live&amp;scope=site</t>
  </si>
  <si>
    <t>Multiple identities of Jewish immigrant adolescents from the former Soviet Union: An exploration of salience and impact of ethnic identity.</t>
  </si>
  <si>
    <t>Birman, Dina; Persky, Irena; Chan, Wing Yi</t>
  </si>
  <si>
    <t>2010-08397-001</t>
  </si>
  <si>
    <t>10.1177/0165025409350948</t>
  </si>
  <si>
    <t>Ethnic Identity; Immigration; Jews; Social Identity; Cross Cultural Psychology; Racial and Ethnic Groups; Adolescence (13-17 yrs); Male; Female</t>
  </si>
  <si>
    <t>The current paper explores the salience and impact of ethnic and national identities for immigrants that are negotiating more than two cultures. Specifically, we were interested in the ways in which Jewish immigrant adolescents from the former Soviet Union integrate their Russian, Jewish, and American identities, and to what extent identification with these three cultures predicts adaptation to varied life domains. In order to examine whether being Jewish has an impact on salience and predictive value of Russian and American identities, a sample of Jewish adolescents (n = 100) was compared with a sample of non-Jewish (n = 113) adolescent immigrants from the former Soviet Union. The study suggests that Jewish and non-Jewish adolescent immigrants differ in levels of Russian and American identity. Further, using structural equation modeling a bicultural model for Jewish and non-Jewish adolescents was tested. The results suggest that these two groups do not differ with respect to how Russian and American identities impact on adjustment. However, adding Jewish identity to the model for the Jewish sample significantly improved model fit, and rendered some of the impact of Russian identity non-significant. Thus a multicultural model that included all three identities had better explanatory power for this sample than a bicultural one. Implications for the study of ethnic identity of immigrants, particularly those whose lives involve multiple cultural affiliations, are drawn. (PsycINFO Database Record (c) 2016 APA, all rights reserved)</t>
  </si>
  <si>
    <t>http://search.ebscohost.com.proxy-ub.rug.nl/login.aspx?direct=true&amp;db=psyh&amp;AN=2010-08397-001&amp;site=ehost-live&amp;scope=site</t>
  </si>
  <si>
    <t>Multiple senses of community and acculturation strategies among migrants.</t>
  </si>
  <si>
    <t>Mannarini, Terri; Talò, Cosimo; Mezzi, Monica; Procentese, Fortuna</t>
  </si>
  <si>
    <t>2017-43525-001</t>
  </si>
  <si>
    <t>10.1002/jcop.21913</t>
  </si>
  <si>
    <t>Acculturation; Health Care Psychology; Immigration; Communities; Adulthood (18 yrs &amp; older); Male; Female</t>
  </si>
  <si>
    <t>Based on the theoretical framework of multiple psychological sense of community (MPSOC) and acculturation models, the study explored the relationships between territorial (TPSOC) and ethnic PSOC (EPSOC) and the acculturation behaviors of 2 groups of immigrants who settled in Italy, namely, Albanians (N = 230) and Sri Lankans (N = 131). Based on survey data and quantitative analyses (general linear models), TPSOC and EPSOC were considered first separately and then combined, according to a bidimensional model of MPSOC that resulted in four combinations (dual membership, receiving society membership, ethnic membership, and no membership). The findings highlighted significant variations across groups. Among Albanian participants, both TPSOC and EPSOC were positively associated with integration and negatively with marginalization. Dual membership was positively associated with integration, prevailing ethnic membership with separation, and no membership with marginalization. Among Sri Lankan participants, EPSOC showed a positive association with separation. Dual membership was associated with marginalization, prevailing receiving society membership with assimilation, prevailing ethnic membership with separation, and no membership with integration. (PsycInfo Database Record (c) 2020 APA, all rights reserved)</t>
  </si>
  <si>
    <t>http://search.ebscohost.com.proxy-ub.rug.nl/login.aspx?direct=true&amp;db=psyh&amp;AN=2017-43525-001&amp;site=ehost-live&amp;scope=site</t>
  </si>
  <si>
    <t>My Name is Not María: Young Latinas Seeking Home in the Heartland.</t>
  </si>
  <si>
    <t>Williams, L. Susan; Alvarez, Sandra D.; Hauck, Kevin S. Andrade</t>
  </si>
  <si>
    <t>Social Problems</t>
  </si>
  <si>
    <t>2005-05694-002</t>
  </si>
  <si>
    <t>10.1525/sp.2002.49.4.563</t>
  </si>
  <si>
    <t>University of California Press</t>
  </si>
  <si>
    <t>Acculturation; Ethnic Identity; Gender Identity; Immigration; Social Adjustment; Adolescent Attitudes; Latinos/Latinas; Adolescence (13-17 yrs); Adulthood (18 yrs &amp; older); Young Adulthood (18-29 yrs); Male; Female</t>
  </si>
  <si>
    <t>Traditional theories of immigration to the U.S. assume a unilateral movement that eventually results in the 'absorption of the immigrant group into the American fold' (Gibson 1988:x). Recent studies of transnationalism introduce a more complex back-and-forth variety of migration, providing ways to explain differences among migratory subgroups. Building on segmented assimilation and transnationalism perspectives, this research addresses the maze of adjustment processes encountered by participants in this study--Latina teenagers who recently immigrated to the U.S. and attend a mid-western high school. This paper proposes an integrated model of gender and acculturation by focusing on adaptation processes. Using qualitative data gathered through group interviews, observation, and survey, the study examines how interaction is organized around gender, ethnicity, and immigrant status. The Latinas invoke ethnic identity to resist an American gender order. However, institutional structures, such as English-as-Second-Language classes, shape practices that have differential effects for girls and boys. Latinas are subject to harsher control both within families and the conformist school culture, which marks them as outsiders more than it does their male peers. These practices reveal the gendered makeup of interaction as distinct from characteristics and beliefs of the individual, and adjustment processes as segmented along structural gender lines. A gendered ethnicity and ethnic gendering reinforces the gender order, but in a way specific to local gender practices and immigrant status. (PsycINFO Database Record (c) 2016 APA, all rights reserved)</t>
  </si>
  <si>
    <t>http://search.ebscohost.com.proxy-ub.rug.nl/login.aspx?direct=true&amp;db=psyh&amp;AN=2005-05694-002&amp;site=ehost-live&amp;scope=site</t>
  </si>
  <si>
    <t>Myth and Reality: Tobacco Use in the Asian American Community.</t>
  </si>
  <si>
    <t>Ma, Grace X.; Shive, Steven E.; Tan, Yin; Toubbeh, Jamil I.; Edwards, Rosita L.</t>
  </si>
  <si>
    <t>Focus on smoking and health research.</t>
  </si>
  <si>
    <t>2006-04454-005</t>
  </si>
  <si>
    <t>Nova Biomedical Books</t>
  </si>
  <si>
    <t>Asians; Tobacco Smoking; Health; Male; Female</t>
  </si>
  <si>
    <t>As one of the fastest growing ethnic/racial groups in the U.S., new immigrant Asian American populations have been suffering disproportionately from tobacco related health problems. The present study examined tobacco use; secondhand smoke exposure and related knowledge; attitudes and behaviors among Asian Americans in the Delaware Valley of Pennsylvania and New Jersey; and the relationship between acculturation and smoking, social influence patterns on smoking, and stages of change of smoking among Asian subgroups. A cross-sectional research design with stratified-cluster proportional sampling technique was used. A multi-lingual questionnaire was developed, back-translated, and pilot-tested for reliability and validity. Study sample was 1174 Chinese, Koreans, Vietnamese, Cambodians, and other Asians. Findings revealed mean age of initiation to be 18.3, 40% ever and 30% current users. Significant differences were reflected in smoking by gender, ethnicity, educational level, and marital and employment status. Males were more likely to be smokers. While knowledge and attitudes about smoking and secondhand smoke were associated with these variables, ethnic pride and smoking status played significant roles. Results indicated that while fathers and brothers had greater social influence on young male smoking behavior, smoking friends had influence on both genders. Additionally, both stages of change of smoking and acculturation impact on smoking varied with gender, age, and time living in U.S. Findings provide comprehensive insights into tobacco use among Asian Americans that reflect the need for developing culturally appropriate programs for this population. (PsycInfo Database Record (c) 2020 APA, all rights reserved)</t>
  </si>
  <si>
    <t>http://search.ebscohost.com.proxy-ub.rug.nl/login.aspx?direct=true&amp;db=psyh&amp;AN=2006-04454-005&amp;site=ehost-live&amp;scope=site</t>
  </si>
  <si>
    <t>National and transnational belonging among Turkish and Moroccan older migrants in the Netherlands: Protective against loneliness?</t>
  </si>
  <si>
    <t>Klok, Jolien; van Tilburg, Theo G.; Suanet, Bianca; Fokkema, Tineke; Huisman, Martijn</t>
  </si>
  <si>
    <t>2017-15128-001</t>
  </si>
  <si>
    <t>10.1007/s10433-017-0420-9</t>
  </si>
  <si>
    <t>Aging; Human Migration; Loneliness; Belonging; Adulthood (18 yrs &amp; older); Middle Age (40-64 yrs); Aged (65 yrs &amp; older); Male; Female</t>
  </si>
  <si>
    <t>This research investigates how a sense of belonging functions as protective mechanism against loneliness. Inspired by the work of Berry (1980) on acculturation strategies (i.e. integration, assimilation, separation and marginalization), we distinguish migrants who feel a relatively strong or weak sense of belonging to larger society and those who feel a strong or weak belonging to the 'own group.' We expect that more national belonging contributes to less loneliness. We add a transnational perspective by arguing that feelings of belonging to the own group can take place in the country of settlement, but can also be transnational, i.e. a feeling of belonging to the country of origin. Transnational belonging can protect against loneliness, as it acknowledges the importance of place attachment. Using data from the Longitudinal Aging Study Amsterdam on older migrants aged 55–66, we employ latent class analysis and find five national belonging clusters, interpretable in terms of Berry’s acculturation strategies. Further analyses reveal mixed evidence: some aspects of transnational belonging vary with belonging to the own group, but other aspects point to a third dimension of belonging. Regression analysis shows that those marginalized are loneliest and that a transnational sense of belonging contributes to more loneliness. We conclude that Berry’s (1980) typology is useful for interpreting older migrants’ national belonging and that a transnational sense of belonging is apparent among older migrants, but needs to be explored further. (PsycInfo Database Record (c) 2020 APA, all rights reserved)</t>
  </si>
  <si>
    <t>http://search.ebscohost.com.proxy-ub.rug.nl/login.aspx?direct=true&amp;db=psyh&amp;AN=2017-15128-001&amp;site=ehost-live&amp;scope=site</t>
  </si>
  <si>
    <t>National identification, endorsement of acculturation ideologies and prejudice: The impact of the perceived threat of immigration.</t>
  </si>
  <si>
    <t>Badea, Constantina; Iyer, Aarti; Aebischer, Verena</t>
  </si>
  <si>
    <t>2018-23616-001</t>
  </si>
  <si>
    <t>10.5334/irsp.147</t>
  </si>
  <si>
    <t>Acculturation; Immigration; Prejudice; Social Identity; Multiculturalism; Threat; Adulthood (18 yrs &amp; older); Young Adulthood (18-29 yrs); Thirties (30-39 yrs); Male; Female</t>
  </si>
  <si>
    <t>This paper examines how the perceived threat of immigration affects the links between national identification, endorsement of assimilation or multiculturalism, and prejudice against immigrants in France. One hundred thirty-five French undergraduates completed a questionnaire measuring these factors. Path analysis showed that higher national identification increased perception of immigrants as a threat, which in turn predicted increased endorsement of assimilation for immigrants. The link between endorsement of assimilation and prejudice was not significant. In contrast, lower national identification decreased perception of immigrants as a threat and, in turn, increased endorsement of multiculturalism and reduced levels of prejudice. An alternative model specifying perception of threat as an outcome of preferences for multiculturalism or assimilation did not fit the data well. Results suggest that perceived threat from immigration is the key factor that guides the preferences of the majority group for acculturation ideologies and, through these preferences, shapes intergroup attitudes. (PsycINFO Database Record (c) 2018 APA, all rights reserved)</t>
  </si>
  <si>
    <t>http://search.ebscohost.com.proxy-ub.rug.nl/login.aspx?direct=true&amp;db=psyh&amp;AN=2018-23616-001&amp;site=ehost-live&amp;scope=site</t>
  </si>
  <si>
    <t>Nativity and nutritional behaviors in the Mexican origin population living in the US-Mexico border region.</t>
  </si>
  <si>
    <t>Montoya, Jared A.; Salinas, Jennifer J.; Barroso, Cristina S.; Mitchell-Bennett, Lisa; Reininger, Belinda</t>
  </si>
  <si>
    <t>2011-01094-013</t>
  </si>
  <si>
    <t>10.1007/s10903-010-9342-8</t>
  </si>
  <si>
    <t>Indigenous Populations; Mexican Americans; Nutrition; Adulthood (18 yrs &amp; older); Young Adulthood (18-29 yrs); Thirties (30-39 yrs); Middle Age (40-64 yrs); Aged (65 yrs &amp; older); Male; Female</t>
  </si>
  <si>
    <t>The purpose of this study is to determine the relationship between nativity and nutritional behaviors and beliefs in the Mexican American population living in the South Texas border region. Mexican Americans living the border region of South Texas were sampled to assess their nutrition behaviors and beliefs. Nativity was measured as whether subjects were born in the United States or Mexico. Nutritional behaviors were measured using the SPAN and indexes were used to measure barriers to good nutrition, dietary self-efficacy, and dietary importance. OLS regression analysis was used and adjustments were made for sociodemographic factors. Differences between US-born Mexican Americans and Mexico-born Mexican Americans existed in nutritional beliefs, but not in behaviors. Mexico-born Mexican Americans reported their dietary choices as more important and reported greater food self-efficacy than their US-born Mexican American counterparts. Socioeconomic status influenced US-born Mexican Americans nutritional beliefs only and the same effect was not observed for Mexico-born Mexican Americans. Despite low levels of overall acculturation in the border region dietary beliefs still exist between immigrants and US-born Mexican Americans in dietary beliefs, but, not behaviors in US-born Mexican Americans. (PsycINFO Database Record (c) 2016 APA, all rights reserved)</t>
  </si>
  <si>
    <t>http://search.ebscohost.com.proxy-ub.rug.nl/login.aspx?direct=true&amp;db=psyh&amp;AN=2011-01094-013&amp;site=ehost-live&amp;scope=site</t>
  </si>
  <si>
    <t>Nativity and Years in the Receiving Culture as Markers of Acculturation in Ethnic Enclaves.</t>
  </si>
  <si>
    <t>Schwartz, Seth J.; Pantin, Hilda; Sullivan, Summer; Prado, Guillermo; Szapocznik, José</t>
  </si>
  <si>
    <t>2006-04777-009</t>
  </si>
  <si>
    <t>10.1177/0022022106286928</t>
  </si>
  <si>
    <t>Acculturation; Adolescent Development; Age Differences; Immigration; Minority Groups; Psychosocial Development; Latinos/Latinas; Adolescence (13-17 yrs); Adulthood (18 yrs &amp; older)</t>
  </si>
  <si>
    <t>The current study was conducted to ascertain the validity of two commonly used markers of acculturation (nativity and years in the receiving culture) in an enclave context. Relationships between these markers and a bidimensional measure of acculturation were examined in a convenience sample of Hispanic immigrant adolescents and their caregivers in Miami. Nativity was examined using adolescent-reported data; approximately half of the youth were US-born and half foreign-born, but all of the caregivers were foreign-born. Years in the receiving culture was examined using both adolescent and caregiver data. Results indicated that nativity was significantly associated with adoption of receiving-culture practices, with a small to moderate effect size. Years in the receiving culture was significantly associated with adoption of receiving-culture practices only for adolescent girls and for female caregivers who immigrated as youth. Neither nativity nor years in the receiving culture explained even moderate amounts of variance in retention or loss of culture-of-origin practices. (PsycINFO Database Record (c) 2016 APA, all rights reserved)</t>
  </si>
  <si>
    <t>http://search.ebscohost.com.proxy-ub.rug.nl/login.aspx?direct=true&amp;db=psyh&amp;AN=2006-04777-009&amp;site=ehost-live&amp;scope=site</t>
  </si>
  <si>
    <t>Nativity differences in physical health: The roles of emotional support, family, and social integration.</t>
  </si>
  <si>
    <t>Gorman, Bridget K.; Ecklund, Elaine Howard; Heard, Holly E.</t>
  </si>
  <si>
    <t>Sociological Spectrum</t>
  </si>
  <si>
    <t>2010-21132-004</t>
  </si>
  <si>
    <t>10.1080/02732173.2010.510059</t>
  </si>
  <si>
    <t>Immigration; Physical Health; Social Integration; Social Networks; Social Support; Adjustment; Emotional States; Family; Adulthood (18 yrs &amp; older); Male; Female</t>
  </si>
  <si>
    <t>U.S. immigrants are a physically healthy population, but we do not understand the explanatory factors responsible for their physical health status, particularly those related to social network support. Using data from the 2001 wave of the National Health Interview Survey, we examine multiple measures of immigrant adaptation, investigating their influence on measures of physical health. In particular, we examine how well indicators of social support and integration explain the immigrant health advantage. Results show clear evidence of an immigrant paradox in physical health, but that measures of support and integration explain almost none of the immigration effect on physical health. (PsycINFO Database Record (c) 2016 APA, all rights reserved)</t>
  </si>
  <si>
    <t>http://search.ebscohost.com.proxy-ub.rug.nl/login.aspx?direct=true&amp;db=psyh&amp;AN=2010-21132-004&amp;site=ehost-live&amp;scope=site</t>
  </si>
  <si>
    <t>Nativity status and mammography use: Results from the 2005 National Health Interview Survey.</t>
  </si>
  <si>
    <t>Billmeier, Tiffany M.; Dallo, Florence J.</t>
  </si>
  <si>
    <t>2011-18140-011</t>
  </si>
  <si>
    <t>10.1007/s10903-010-9334-8</t>
  </si>
  <si>
    <t>Acculturation; Health Promotion; Mammography; Mortality Rate; Adulthood (18 yrs &amp; older); Middle Age (40-64 yrs); Aged (65 yrs &amp; older); Female</t>
  </si>
  <si>
    <t>Disparities exist in mammography use based on nativity status. Using the 2005 National Health Interview Survey, we examined the link between nativity status and mammography use in the past 2 years among women (≥40 years) and investigated whether acculturation was associated with mammography use among foreign-born women using multivariate analyses. Foreign-born women were less likely (OR = 0.75; 95% CI = 0.65, 0.87) to report mammography use compared to US born women. After adjusting for selected covariates, results were no longer statistically significant. Foreign-born women (≥65 years) who were not US citizens (i.e. less acculturated) were less likely (OR = 0.17; 95% CI = 0.06, 0.46) to report mammography use compared to naturalized citizens. Based on our findings, mammography use did not differ between US and foreign-born women. Therefore, the disparities in incidence and mortality rates observed between these groups may be due to other factors. (PsycINFO Database Record (c) 2018 APA, all rights reserved)</t>
  </si>
  <si>
    <t>http://search.ebscohost.com.proxy-ub.rug.nl/login.aspx?direct=true&amp;db=psyh&amp;AN=2011-18140-011&amp;site=ehost-live&amp;scope=site</t>
  </si>
  <si>
    <t>Nativity, duration of residence and chronic health conditions in Australia: Do trends converge towards the native-born population?</t>
  </si>
  <si>
    <t>Jatrana, Santosh; Pasupuleti, Samba Siva Rao; Richardson, Ken</t>
  </si>
  <si>
    <t>2014-47498-007</t>
  </si>
  <si>
    <t>10.1016/j.socscimed.2014.08.008</t>
  </si>
  <si>
    <t>Chronic Illness; Cross Cultural Differences; Health Care Services; Immigration; Adulthood (18 yrs &amp; older); Thirties (30-39 yrs); Middle Age (40-64 yrs); Aged (65 yrs &amp; older); Male; Female</t>
  </si>
  <si>
    <t>Using data from waves 3, 7 and 9 of the Household, Income and Labour Dynamics in Australia (HILDA) survey, a group-mean-centred multilevel mixed model and self-reported chronic conditions, this study contributes to the limited longitudinal evidence on the nativity health gap in Australia. We investigated whether differences exist in the reporting of any chronic condition (including cancer, cardiovascular disease (CVD), arthritis, diabetes and respiratory disease), and in the total number of chronic conditions, between foreign-born (FB) from English speaking (ES) and non-English speaking (NES) countries and native-born (NB) Australians. We also investigated differences between these groups in the reporting of any chronic condition, and the total number of chronic conditions, by duration of residence. After adjusting for time varying and time invariant covariates, we found a significant difference by nativity status in the reporting of chronic condition, with immigrants from both ES and NES countries less likely to report a chronic condition and having fewer chronic conditions compared with the NB. Immigrants from both ES and NES countries living in Australia for less than 20 years were significantly less likely to report a chronic condition compared with the NB. However, the health of both these groups converged to that of the NB population in terms of reporting a chronic condition after 20 years of stay in Australia. (PsycINFO Database Record (c) 2016 APA, all rights reserved)</t>
  </si>
  <si>
    <t>http://search.ebscohost.com.proxy-ub.rug.nl/login.aspx?direct=true&amp;db=psyh&amp;AN=2014-47498-007&amp;site=ehost-live&amp;scope=site</t>
  </si>
  <si>
    <t>Neighborhood context and acculturation among Central American immigrants.</t>
  </si>
  <si>
    <t>Hochhausen, Laila; Perry, Deborah F.; Le, Huynh-Nhu</t>
  </si>
  <si>
    <t>2010-18128-023</t>
  </si>
  <si>
    <t>10.1007/s10903-008-9201-z</t>
  </si>
  <si>
    <t>Acculturation; Immigration; Neighborhoods; Health; Latinos/Latinas; Adulthood (18 yrs &amp; older); Young Adulthood (18-29 yrs); Thirties (30-39 yrs); Female</t>
  </si>
  <si>
    <t>Years in the US is often used as a proxy for acculturation, and level of acculturation may be an important predictor of differential health outcomes for immigrants. Some studies have examined the interaction between community level factors and acculturation, but not among Latinos. Level of acculturation and neighborhood concentration of Latinos was assessed in a sample of 194 Spanish-speaking, immigrant, pregnant Latinas. Neighborhood concentration of Latinos moderated the association between years living in the US and acculturation level. For individuals living in a high concentration of Latinos, longer time in the US was less related to higher levels of acculturation. In contrast, among Latinas living in a low concentration of other Latinos, the amount of time since immigrating to the US was strongly associated with level of acculturation. These findings have implications for health outcomes research done with immigrant groups, particularly Latinos. (PsycINFO Database Record (c) 2016 APA, all rights reserved)</t>
  </si>
  <si>
    <t>http://search.ebscohost.com.proxy-ub.rug.nl/login.aspx?direct=true&amp;db=psyh&amp;AN=2010-18128-023&amp;site=ehost-live&amp;scope=site</t>
  </si>
  <si>
    <t>Normative changes in ethnic and American identities and links with adjustment among Asian American adolescents.</t>
  </si>
  <si>
    <t>Kiang, Lisa; Witkow, Melissa R.; Champagne, Mariette C.</t>
  </si>
  <si>
    <t>2012-32641-001</t>
  </si>
  <si>
    <t>10.1037/a0030840</t>
  </si>
  <si>
    <t>Adjustment; Adolescent Development; Asians; Ethnic Identity; Identity Formation; Immigration; Life Changes; Adolescence (13-17 yrs); Male; Female</t>
  </si>
  <si>
    <t>Identity development is a highly salient task for adolescents, especially those from immigrant backgrounds, yet longitudinal research that tracks simultaneous change in ethnic identity and American identity over time has been limited. With a focus on 177 Asian American adolescents recruited from an emerging immigrant community, in the current study, we used hierarchical linear modeling and found that ethnic identity tends to remain fairly stable across the 4 years of high school, whereas American identity increases over time. When ethnic identity and American identity were examined simultaneously, consistent with existing research, ethnic identity was positively associated with positive relationships, high self-esteem, academic motivation, and lower levels of depression over time. Although American identity was not significantly associated with depression, positive links with relationships, self-esteem, and academic motivation were found. Both identities were interactively associated with academic motivation. Acculturative implications and the importance of considering the dual construction of ethnic identity and American identity in light of adolescent adjustment are discussed. (PsycINFO Database Record (c) 2016 APA, all rights reserved)</t>
  </si>
  <si>
    <t>http://search.ebscohost.com.proxy-ub.rug.nl/login.aspx?direct=true&amp;db=psyh&amp;AN=2012-32641-001&amp;site=ehost-live&amp;scope=site</t>
  </si>
  <si>
    <t>North Korean women defectors in South Korea and their political participation.</t>
  </si>
  <si>
    <t>Jeong, Hoi Ok; Kim, Yoon Sil</t>
  </si>
  <si>
    <t>2016-56132-004</t>
  </si>
  <si>
    <t>10.1016/j.ijintrel.2016.07.008</t>
  </si>
  <si>
    <t>Human Females; Korean Cultural Groups; Political Participation; Refugees; Intention; Adulthood (18 yrs &amp; older); Male; Female</t>
  </si>
  <si>
    <t>This study examines the political participation intentions of North Korean women refugees. Previous literature tends to highlight the sufferings and difficulties that female refugees experience as they leave their homelands and settle in a new country. Few studies have been directed toward the political dimension of refugee life. The empirical results show that North Korean women defectors hold generally participatory attitudes toward politics and mostly liberal opinions on policy issues. Furthermore, among the socio-demographic variables, age and marital status are generally influential in the intention of political participation among the North Korean women defectors. Among the political attitudinal variables, attitude toward environmental policy consistently affects political participation intention. With respect to defector-specific variables, satisfaction with life in South Korea is influential, whereas cultural adaptation is not. (PsycINFO Database Record (c) 2017 APA, all rights reserved)</t>
  </si>
  <si>
    <t>http://search.ebscohost.com.proxy-ub.rug.nl/login.aspx?direct=true&amp;db=psyh&amp;AN=2016-56132-004&amp;site=ehost-live&amp;scope=site</t>
  </si>
  <si>
    <t>Obesity and immigration among Latina women.</t>
  </si>
  <si>
    <t>Wolin, Kathleen Y.; Colangelo, Laura A.; Chiu, Brian C.-H.; Gapstur, Susan M.</t>
  </si>
  <si>
    <t>2009-16867-007</t>
  </si>
  <si>
    <t>10.1007/s10903-007-9115-1</t>
  </si>
  <si>
    <t>Acculturation; Obesity; Sociocultural Factors; Latinos/Latinas; Adulthood (18 yrs &amp; older); Middle Age (40-64 yrs); Female</t>
  </si>
  <si>
    <t>Several studies have shown a positive association between acculturation and obesity in Hispanics. We sought to examine the association in a sample of urban Hispanic women. Using data collected in the Chicago Breast Health Project, we used logistic regression to examine the association of obesity (BMI ≥30 kg/m²) with language acculturation and years in the US in a sample of 388 Hispanic women. Women self-reported the number of years they had lived in the US (mean 17.6) as well as their preferred language across several domains, which was used to calculate a language acculturation score. Nearly all the women (98%) were born outside the US with the majority (65%) born in Mexico and the majority of women (69%) had low language acculturation, i.e., answered 'only Spanish' in every domain. Over half of the women were obese (56%). In multivariable analysis, odds of obesity was twice as high among women living in the US for greater than 20 years compared to those in the US for 10 years or less (OR/year = 2.07, 95% CI 1.25–3.42). In contrast, low language acculturation was not associated with odds of obesity (OR = 1.14, 95% CI 0.70–1.86). While greater years in the US increased odds of obesity among Hispanic women, no association of obesity with language acculturation was found. These results suggest that mechanisms other than language contribute to the immigration effect. (PsycINFO Database Record (c) 2016 APA, all rights reserved)</t>
  </si>
  <si>
    <t>http://search.ebscohost.com.proxy-ub.rug.nl/login.aspx?direct=true&amp;db=psyh&amp;AN=2009-16867-007&amp;site=ehost-live&amp;scope=site</t>
  </si>
  <si>
    <t>Occupational exposures and migration factors associated with respiratory health in California Latino farm workers: The MICASA study.</t>
  </si>
  <si>
    <t>Stoecklin-Marois, Maria T.; Bigham, Corina W.; Bennett, Deborah; Tancredi, Daniel J.; Schenker, Marc B.</t>
  </si>
  <si>
    <t>Journal of Occupational and Environmental Medicine</t>
  </si>
  <si>
    <t>2015-10048-002</t>
  </si>
  <si>
    <t>10.1097/JOM.0000000000000325</t>
  </si>
  <si>
    <t>Agricultural Workers; Human Migration; Occupational Exposure; Respiratory System; Symptoms; Adulthood (18 yrs &amp; older); Young Adulthood (18-29 yrs); Thirties (30-39 yrs); Middle Age (40-64 yrs); Male; Female</t>
  </si>
  <si>
    <t>Objective: To evaluate associations of agricultural work and migration on self-reported respiratory symptoms in a Latino farm worker sample. Methods: Work history and respiratory symptoms were assessed in 702 workers through interviews in a community-based cohort. Results: Prevalence was 6% for asthma, 5% for chronic cough, 3% for chronic bronchitis, and 7% for persistent wheeze. The total number of years in agriculture was associated with asthma; however, time-weighted average dust exposure, use of protective equipment, and pesticide use in the past 12 months were not associated with respiratory outcomes. Living 15 years or more in the United States (adjusted odds ratio = 3.60; 95% confidence interval = 1.16 to 11.16) and medium/high acculturation (adjusted odds ratio = 6.06; 95% confidence interval = 1.40 to 26.29) were associated with increased odds of asthma in women. Conclusions: Analysis of this community-based Latino farm worker cohort identified associations with asthma, particularly with migration factors in women. (PsycINFO Database Record (c) 2016 APA, all rights reserved)</t>
  </si>
  <si>
    <t>http://search.ebscohost.com.proxy-ub.rug.nl/login.aspx?direct=true&amp;db=psyh&amp;AN=2015-10048-002&amp;site=ehost-live&amp;scope=site</t>
  </si>
  <si>
    <t>Oral health of foreign domestic workers: Exploring the social determinants.</t>
  </si>
  <si>
    <t>Gao, Xiaoli; Chan, Chi Wai; Mak, Siu Lun; Ng, Zevon; Kwong, Wai Hang; Kot, Ching Ching Shirley</t>
  </si>
  <si>
    <t>2014-37149-019</t>
  </si>
  <si>
    <t>10.1007/s10903-013-9789-5</t>
  </si>
  <si>
    <t>Foreign Workers; Health Behavior; Immigration; Lifestyle; Oral Health; Adulthood (18 yrs &amp; older); Young Adulthood (18-29 yrs); Thirties (30-39 yrs); Middle Age (40-64 yrs); Female</t>
  </si>
  <si>
    <t>Foreign domestic helpers constitute a significant proportion of migrant workers worldwide. This population subgroup provides an opportunity for understanding social determinants of oral health in immigrant community. A random sample of 122 Indonesian domestic helpers in Hong Kong completed a questionnaire on their demographic background, social characteristics (competency in local languages, immigration history, living condition, social connections, and leisure activities) and oral health behaviours (knowledge, attitudes, practice and self-efficacy). Their tooth status and periodontal health were assessed. Participants tended to start flossing after settling in Hong Kong. Favourable oral health knowledge was found in more acculturated participants, as indicated by proficiency in local languages and immigration history. Engagement in social and/or religious activities and decent living condition provided by employers were associated with favourable oral health behaviours and/or better oral health. Social determinants explained 13.2 % of variance in caries severity. Our findings support the significant impact of social circumstances on oral health of domestic workers. (PsycINFO Database Record (c) 2016 APA, all rights reserved)</t>
  </si>
  <si>
    <t>http://search.ebscohost.com.proxy-ub.rug.nl/login.aspx?direct=true&amp;db=psyh&amp;AN=2014-37149-019&amp;site=ehost-live&amp;scope=site</t>
  </si>
  <si>
    <t>Osteoporosis and milk intake among Korean women in California: Relationship with acculturation to U.S. lifestyle.</t>
  </si>
  <si>
    <t>Irvin, Veronica L.; Nichols, Jeanne F.; Hofstetter, C. Richard; Ojeda, Victoria D.; Song, Yoon Ju; Kang, Sunny; Hovell, Melbourne F.</t>
  </si>
  <si>
    <t>2013-39701-015</t>
  </si>
  <si>
    <t>10.1007/s10903-013-9774-z</t>
  </si>
  <si>
    <t>Acculturation; Food Intake; Human Females; Korean Cultural Groups; Osteoporosis; Immigration; Lifestyle; Adulthood (18 yrs &amp; older); Female</t>
  </si>
  <si>
    <t>The Korean population in the US increased by a third between 2000 and 2010. Korean women in the US report low calcium intake and relatively high rate of fractures. However, little is known about the prevalence of osteoporosis among Korean American women. This paper examined the relationship between prevalence of osteoporosis and milk consumption, and their relationship with acculturation among a representative sample of immigrant California women of Korean descent. Bilingual telephone surveys were conducted from a probability sample (N = 590) in 2007. Lower acculturation significantly related to lower milk consumption for women during the age periods of 12–18 and 19–34 years. Acculturation was related to higher prevalence of osteoporosis among postmenopausal, but not pre-menopausal Korean women in California. Future research should include larger cohorts, objective measures of osteoporosis, other sources of calcium specific to Korean cuisine, and assessment of bone-loading physical activity. (PsycINFO Database Record (c) 2016 APA, all rights reserved)</t>
  </si>
  <si>
    <t>http://search.ebscohost.com.proxy-ub.rug.nl/login.aspx?direct=true&amp;db=psyh&amp;AN=2013-39701-015&amp;site=ehost-live&amp;scope=site</t>
  </si>
  <si>
    <t>Out of sight, out of mind? Patterns of transnational contact among Chinese and Indian immigrants in Toronto.</t>
  </si>
  <si>
    <t>Fong, Eric; Cao, Xingshan; Chan, Elic</t>
  </si>
  <si>
    <t>Sociological Forum</t>
  </si>
  <si>
    <t>2010-16250-002</t>
  </si>
  <si>
    <t>10.1111/j.1573-7861.2010.01190.x</t>
  </si>
  <si>
    <t>Acculturation; Immigration; Interpersonal Communication; Technology; Chinese Cultural Groups; South Asian Cultural Groups; Adulthood (18 yrs &amp; older); Young Adulthood (18-29 yrs); Thirties (30-39 yrs); Middle Age (40-64 yrs); Aged (65 yrs &amp; older); Male; Female</t>
  </si>
  <si>
    <t>There has been considerable discussion in recent decades about the integration patterns of new immigrants. Recognizing advancements in technology and the increased economic integration of countries, some researchers have suggested that the emerging integration trend for immigrants is the transnational pattern, whereby immigrants maintain contact with the home countries. To advance the discussion, this study focuses on general transnational contact, a basic form of transnational activity. The study draws from recently collected large-scale survey data to explore the patterns of transnational contact within two recent immigrant groups, Asian Indians and Chinese, in Toronto. Our findings show that only a small percentage of immigrants maintain intensive and extensive transnational contact. As well, our findings are less consistent with the transnational perspective than with the assimilation perspective on the effects of socioeconomic background on transnational contacts. (PsycINFO Database Record (c) 2016 APA, all rights reserved)</t>
  </si>
  <si>
    <t>http://search.ebscohost.com.proxy-ub.rug.nl/login.aspx?direct=true&amp;db=psyh&amp;AN=2010-16250-002&amp;site=ehost-live&amp;scope=site</t>
  </si>
  <si>
    <t>Outside of the gateway, just off the beltway: Ghanaian and Nigerian immigrants in the United States.</t>
  </si>
  <si>
    <t>Buford, Mindelyn II</t>
  </si>
  <si>
    <t>2011-99090-102</t>
  </si>
  <si>
    <t>Blacks; Countries; Immigration; Social Issues; Human Capital</t>
  </si>
  <si>
    <t>This dissertation is a study of contemporary Black African migration to the United States. It is motivated by the conundrum between these migrants' high pre-migration human capital and their lower-than-expected post-migration socioeconomic status in the U.S. Angled at the intersection of race and migration, this research is informed by four major bodies of theory—international migration theory, theories on racial hierarchy and race relations, contemporary assimilation theory, and social network theory. This research has a two-fold agenda: (1) to uncover how race/ethnicity and social class accommodate or obstruct the migration and assimilation of African immigrants and (2) to clarify how social networks in various contexts facilitate or constrain the assimilation of African-horn migrants in the U.S. This research employs an extended case method approach which is suitable for research that aims to reconstruct existing theory. The instruments include a survey on background information, in-depth interviews on migration history and adaptation process, survey instruments for network analysis, and 'shadowing' observations with Ghanaian and Nigerian immigrants residing in Maryland. A snowball sampling technique was used to recruit participants that vary by individual and contextual characteristics through school, work, and neighborhood-based associations, voluntary organizations, and field contacts. I find that Ghanaians and Nigerians migrate to the United States in pursuit of educational and occupational opportunity in a politically stable society. They use their human-cultural, social, and financial capital to acquire a vast array of visas in pursuit of the American Dream. However, their ability to successfully integrate into American society is circumscribed by their immigration status, race, gender, and class backgrounds as illustrated by their migration processes, educational experiences, workforce trajectories, and social integration patterns in the United States. While I st generation immigrants exhibit varying degrees of success, their determination and selective acculturation strategies—mainstream economic integration coupled with selective cultural assimilation—pave the way for subsequent cohorts and generations of Ghanaian and Nigerian immigrants to enjoy upward mobility in American society. These findings establish assimilation as a multigenerational process circumscribed by societal structure but also negotiated through immigrant agency. (PsycINFO Database Record (c) 2016 APA, all rights reserved)</t>
  </si>
  <si>
    <t>http://search.ebscohost.com.proxy-ub.rug.nl/login.aspx?direct=true&amp;db=psyh&amp;AN=2011-99090-102&amp;site=ehost-live&amp;scope=site</t>
  </si>
  <si>
    <t>Pakistani Ismaili Muslim adolescent females living in the United States of America: Stresses associated with the process of adaptation to U.S. culture.</t>
  </si>
  <si>
    <t>Khuwaja, Salma A.; Selwyn, Beatrice J.; Kapadia, Asha; McCurdy, Sheryl; Khuwaja, Alam</t>
  </si>
  <si>
    <t>2007-09506-004</t>
  </si>
  <si>
    <t>10.1007/s10903-006-9013-y</t>
  </si>
  <si>
    <t>Immigration; Muslims; Risk Factors; Social Adjustment; Stress; Culture (Anthropological); Depression (Emotion); Human Females; Psychosocial Factors; Adolescence (13-17 yrs); Adulthood (18 yrs &amp; older); Female</t>
  </si>
  <si>
    <t>This study examines correlates of sociopsychological post-migration depression in Pakistani Ismaili Muslim adolescent females residing in the United States using quantitative information obtained through a questionnaire. Analysis of the questionnaire included descriptive statistics, Pearson product moment correlation coefficients, and multiple regression to describe a final model of risk factors related to depression in these adolescents. Longer periods of stay in the United States, young age at migration, and speaking more English were associated with low sociopsychological stress scores. Adolescents who reported a longer period of stay in the United States and lower levels of sociopsychological stress were less likely to be depressed. (PsycINFO Database Record (c) 2016 APA, all rights reserved)</t>
  </si>
  <si>
    <t>http://search.ebscohost.com.proxy-ub.rug.nl/login.aspx?direct=true&amp;db=psyh&amp;AN=2007-09506-004&amp;site=ehost-live&amp;scope=site</t>
  </si>
  <si>
    <t>Panic attacks in minority Americans: The effects of alcohol abuse, tobacco smoking, and discrimination.</t>
  </si>
  <si>
    <t>Hearld, Kristine Ria; Budhwani, Henna; Chavez-Yenter, Daniel</t>
  </si>
  <si>
    <t>2015-08840-017</t>
  </si>
  <si>
    <t>10.1016/j.jad.2014.11.041</t>
  </si>
  <si>
    <t>Alcohol Abuse; Minority Groups; Panic Attack; Racial and Ethnic Groups; Tobacco Smoking; Discrimination; Epidemiology; Immigration; Panic; Adulthood (18 yrs &amp; older); Young Adulthood (18-29 yrs); Thirties (30-39 yrs); Middle Age (40-64 yrs); Male; Female</t>
  </si>
  <si>
    <t>Background: Lifetime prevalence of panic attacks is estimated at 22.7%, and research on the correlates and causes of depression, anxiety, and other mental illnesses have yielded mixed results in minority groups. Therefore, the purpose of this study is to evaluate the relationship between panic attacks, minority status, and nativity by focusing on the effects of health lifestyle behaviors and discrimination. Methods: Multivariate analysis was performed using logistic regression, which was used to estimate the probability of meeting the criteria for panic attacks (n = 17,249). Results: Demographic and socioeconomic variables had significant associations; females had over 2.4 times higher odds than males of meeting the criteria for panic attacks. The more frequently respondents were treated as dishonest, less smart, with disrespect, threatened, or called names, the more likely they met the criteria for panic attacks. Additionally, smoking and alcohol abuse were significant predictors of panic attacks. Those who abused alcohol have over 2 times the odds of having panic attacks. Similarly, smokers had 52% higher odds of panic attacks than non-smokers. Limitations: The primary limitation of this project was the lack of a true acculturation measure with a secondary limitation being the inability to determine respondents' legal status. Conclusions: Key findings were that health lifestyle choices and exposure to discrimination significantly affected the chance of having panic attacks. Nativity was protective; however, its effect was ameliorated by exposure to discrimination or engagement in smoking behavior or alcohol abuse. Thus, this study offers insight into contextual factors for clinicians caring for racial and ethnic minorities diagnosed with panic attacks. (PsycINFO Database Record (c) 2016 APA, all rights reserved)</t>
  </si>
  <si>
    <t>http://search.ebscohost.com.proxy-ub.rug.nl/login.aspx?direct=true&amp;db=psyh&amp;AN=2015-08840-017&amp;site=ehost-live&amp;scope=site</t>
  </si>
  <si>
    <t>Paths to success of Israeli immigrants from different countries of origin.</t>
  </si>
  <si>
    <t>Kushnirovich, Nonna; Youngmann, Rafael</t>
  </si>
  <si>
    <t>2017-45231-006</t>
  </si>
  <si>
    <t>10.1016/j.ijintrel.2017.07.002</t>
  </si>
  <si>
    <t>Countries; Immigration; Economics; Life Satisfaction; Well Being; Adulthood (18 yrs &amp; older); Young Adulthood (18-29 yrs); Thirties (30-39 yrs); Male; Female</t>
  </si>
  <si>
    <t>This study is a case study of paths of success across different immigrant groups in the same national context. It investigated dimensions of immigrants' success and explored paths of success of immigrants from different countries of origin. Two main dimensions of immigrants’ success were outlined: economic success and psychological well-being, when the latter included 'sense of belonging' and 'life satisfaction'. An instrument measuring both dimensions of success was developed. The study was based on data from the 2011 Immigrant Survey completed by a representative sample of the immigrant population in Israel, including 2927 immigrants from the Former Soviet Union, Asia &amp; Africa, Europe &amp; America, and Ethiopia. Structural Equation Modeling were used to generate the model of immigrants' success. The main paths of success were outlined. The path of the low-skilled visible minority contrasted with the path of other, more highly skilled groups of immigrants who resembled the local majority population to a greater degree. Understanding factors shaping the success of immigrants from different countries of origin might be used by policymakers to foster immigrants' economic and psychological well-being. (PsycInfo Database Record (c) 2020 APA, all rights reserved)</t>
  </si>
  <si>
    <t>http://search.ebscohost.com.proxy-ub.rug.nl/login.aspx?direct=true&amp;db=psyh&amp;AN=2017-45231-006&amp;site=ehost-live&amp;scope=site</t>
  </si>
  <si>
    <t>Patterns of cultural adjustment among young migrants to Australia.</t>
  </si>
  <si>
    <t>Sonderegger, Robi; Barrett, Paula M.</t>
  </si>
  <si>
    <t>2004-12874-007</t>
  </si>
  <si>
    <t>10.1023/B:JCFS.0000022039.00578.51</t>
  </si>
  <si>
    <t>Acculturation; Adjustment; Chinese Cultural Groups; Cross Cultural Differences; Immigration; Social Support; Childhood (birth-12 yrs); School Age (6-12 yrs); Adolescence (13-17 yrs); Adulthood (18 yrs &amp; older); Young Adulthood (18-29 yrs); Male; Female</t>
  </si>
  <si>
    <t>The present study examines the cultural adjustment patterns of ethnically diverse migrants to Australia. Two hundred and seventy three primary and high school students (comprised of former-Yugoslavian and Chinese cultural groups) participated in this investigation. Participants completed self-report measures of acculturation, internalising symptoms, social support, self-concept/esteem, ethnic identity and future outlook, and were compared by gender, school level, cultural group, heterorganic ethnicity and residential duration variables. The main findings from this study indicate: (1) patterns of cultural adjustment differ for children and adolescents according to cultural background, gender, age, and length of stay in the host culture; (2)former-Yugoslavian migrants generally report greater identification and involvement with Australian cultural norms than Chinese migrant youth; and (3) the divergent variables social support and bicultural adjustment are not universally paired with acculturative stress, as previously indicated in other adult migrant and acculturation studies. Specific cross-cultural trends and differences are discussed. (PsycINFO Database Record (c) 2016 APA, all rights reserved)</t>
  </si>
  <si>
    <t>http://search.ebscohost.com.proxy-ub.rug.nl/login.aspx?direct=true&amp;db=psyh&amp;AN=2004-12874-007&amp;site=ehost-live&amp;scope=site</t>
  </si>
  <si>
    <t>Patterns of missing data in ethnic minority health research: A survey project with Russian-speaking immigrant women with hypertension.</t>
  </si>
  <si>
    <t>Brouwer, Amanda M.; Mosack, Katie E.; Wendorf, Angela R.; Sokolova, Liliya</t>
  </si>
  <si>
    <t>Research and Theory for Nursing Practice: An International Journal</t>
  </si>
  <si>
    <t>2013-45028-003</t>
  </si>
  <si>
    <t>10.1891/1541-6577.27.4.276</t>
  </si>
  <si>
    <t>Hypertension; Immigration; Individual Differences; Minority Groups; Social Norms; Venlafaxine; Adulthood (18 yrs &amp; older); Aged (65 yrs &amp; older); Very Old (85 yrs &amp; older); Female</t>
  </si>
  <si>
    <t>We explored cultural-level variables and their associations with missing data in a group of immigrants from the Former Soviet Union (FSU), Elderly hypertensive women (N = 105) completed a health survey. Prevalence of missing data and z scores were calculated to determine which survey items and measures were more likely to have missing data. Hierarchical linear regressions were performed to test whether cultural variables predicted the rate of missing data beyond individual variables. Culture variables associated with survey nonresponse and missing data were related to depression, anxiety, medication beliefs and practices, attitudes toward physicians, and cultural and behavioral identity. An interpretation of the patterns of missing data and strategies to reduce the likelihood of missing data in this population are discussed. Cultural norms likely influence patients' orientations toward their health care providers. Providers would do well to normalize difficulties with medical adherence and encourage patients to ask questions about such directives. We recommend that researchers consider the cultural appropriateness of survey items and consider alternative methods (i.e., qualitative designs) for culturally sensitive topics such as mental health and sexuality. (PsycINFO Database Record (c) 2017 APA, all rights reserved)</t>
  </si>
  <si>
    <t>http://search.ebscohost.com.proxy-ub.rug.nl/login.aspx?direct=true&amp;db=psyh&amp;AN=2013-45028-003&amp;site=ehost-live&amp;scope=site</t>
  </si>
  <si>
    <t>Patterns of psychological acculturation in adult and adolescent Moroccan immigrants living in the Netherlands.</t>
  </si>
  <si>
    <t>Stevens, Gonneke W. J. M.; Pels, Trees V. M.; Vollebergh, Wilma A. M.; Crijnen, Alfons A. M.</t>
  </si>
  <si>
    <t>2004-20032-005</t>
  </si>
  <si>
    <t>10.1177/0022022104270111</t>
  </si>
  <si>
    <t>Acculturation; Immigration; Psychometrics; Sociocultural Factors; Adolescence (13-17 yrs); Adulthood (18 yrs &amp; older); Male; Female</t>
  </si>
  <si>
    <t>Psychological acculturation patterns within a Moroccan adult and adolescent population in the Netherlands were determined through latent class analysis. The Psychological Acculturation Scale (PAS) was adapted, and strong psychometric properties were demonstrated. We found Dutch and Moroccan Psychological Acculturation Subscales (D-PAS; M-PAS). Three classes with similar patterns of acculturation were revealed for both populations. One class showed medium scores on the D-PAS and M-PAS items and one class revealed a pattern with high scores on the M-PAS and medium to high scores on the D-PAS items. The third class was characterized by low scores on the D-PAS and high scores on the M-PAS items. These acculturation classes were shown to be meaningful constructs and yield detailed information about acculturation. (PsycINFO Database Record (c) 2016 APA, all rights reserved)</t>
  </si>
  <si>
    <t>http://search.ebscohost.com.proxy-ub.rug.nl/login.aspx?direct=true&amp;db=psyh&amp;AN=2004-20032-005&amp;site=ehost-live&amp;scope=site</t>
  </si>
  <si>
    <t>Paying attention to international students in Italy: The role of acculturative stress in the affective evaluations of crosscultural transition.</t>
  </si>
  <si>
    <t>Chayinska, Maria; Mari, Silvia</t>
  </si>
  <si>
    <t>2015-05169-004</t>
  </si>
  <si>
    <t>Acculturation; Immigration; International Students; Evaluation; Questionnaires; Marginalization; Adulthood (18 yrs &amp; older); Male; Female</t>
  </si>
  <si>
    <t>http://search.ebscohost.com.proxy-ub.rug.nl/login.aspx?direct=true&amp;db=psyh&amp;AN=2015-05169-004&amp;site=ehost-live&amp;scope=site</t>
  </si>
  <si>
    <t>Perceived acculturation preferences of minority groups and intergroup discrimination: When culture‐specific intergroup norms matter.</t>
  </si>
  <si>
    <t>Anier, Nolwenn; Badea, Constantina; Berthon, Mickael; Guimond, Serge</t>
  </si>
  <si>
    <t>2018-38101-001</t>
  </si>
  <si>
    <t>10.1111/jasp.12530</t>
  </si>
  <si>
    <t>Intergroup Dynamics; Minority Groups; Social Norms; Culture (Anthropological); Adulthood (18 yrs &amp; older); Male; Female</t>
  </si>
  <si>
    <t>The present research seeks to show that culture‐specific variables can moderate the impact of general determinants of intergroup discrimination, usually assumed to operate identically across cultures. The present paper reports the results of two studies testing the hypothesis that, in France, the cultural norm of new laïcité (a French‐specific ideology of secularism) can moderate the impact of the perceived host culture adoption and national identification on discrimination against immigrants. We conducted a correlational study (Study 1, N = 249) and an experiment (Study 2, N = 143) using two distinct and previously validated measures of intergroup discrimination. Results showed that the higher the perception of a norm of new laïcité, the stronger the link between host culture adoption and national identification. More specifically, among native French people, the perception of a weak host culture adoption and a weak national identification on the part of immigrants produced higher levels of discriminatory behavior especially when the intergroup norm of new laïcité was high. These studies highlight the fundamental importance of taking into account culture‐specific variables in the study of discrimination and point to the fact that, by changing the normative context, one may change intergroup behaviors. Reducing intergroup discrimination in applied settings may require targeting culture‐specific intergroup norms. (PsycINFO Database Record (c) 2018 APA, all rights reserved)</t>
  </si>
  <si>
    <t>http://search.ebscohost.com.proxy-ub.rug.nl/login.aspx?direct=true&amp;db=psyh&amp;AN=2018-38101-001&amp;site=ehost-live&amp;scope=site</t>
  </si>
  <si>
    <t>Perceived cultural distance and acculturation among exchange students in Russia.</t>
  </si>
  <si>
    <t>Suanet, Irina; Van De Vijver, Fons J. R.</t>
  </si>
  <si>
    <t>Journal of Community &amp; Applied Social Psychology</t>
  </si>
  <si>
    <t>2009-05778-002</t>
  </si>
  <si>
    <t>10.1002/casp.989</t>
  </si>
  <si>
    <t>Acculturation; Cross Cultural Differences; International Students; Personality; Adulthood (18 yrs &amp; older); Male; Female</t>
  </si>
  <si>
    <t>The relations of perceived cultural distance, personality, acculturation orientations and outcomes were studied among exchange students (N = 187) in Russia who came from various countries in Asia, sub-Saharan Africa, Latin America and the former Soviet Union. The hypothesis was supported that a larger perceived cultural distance between mainstream and immigrant culture is associated with less psychological (homesickness and stress) and sociocultural (behavior with Russian students and behavior with co-nationals) adjustment. The statistical relations between perceived cultural distance, personality and sociocultural adjustment were much stronger for host domain behavior than for home domain behavior. Adjustment was higher for participants with more cultural empathy, openmindedness and flexibility. Adjustment showed statistically stronger associations with cultural distance than with acculturation orientations. It is concluded that cultural distance may be more salient than acculturation orientations in studies of heterogeneous groups of immigrants. (PsycINFO Database Record (c) 2016 APA, all rights reserved)</t>
  </si>
  <si>
    <t>http://search.ebscohost.com.proxy-ub.rug.nl/login.aspx?direct=true&amp;db=psyh&amp;AN=2009-05778-002&amp;site=ehost-live&amp;scope=site</t>
  </si>
  <si>
    <t>Perceived discrimination and acculturation among Iranian refugees in the Netherlands.</t>
  </si>
  <si>
    <t>Te Lindert, Annet; Korzilius, Hubert; Van de Vijver, Fons J. R.; Kroon, Sjaak; Arends-Tóth, Judit</t>
  </si>
  <si>
    <t>2008-17417-009</t>
  </si>
  <si>
    <t>10.1016/j.ijintrel.2008.09.003</t>
  </si>
  <si>
    <t>Acculturation; Attitudes; Refugees; Social Acceptance; Social Discrimination; Immigration; Adulthood (18 yrs &amp; older); Young Adulthood (18-29 yrs); Thirties (30-39 yrs); Middle Age (40-64 yrs); Aged (65 yrs &amp; older); Male; Female</t>
  </si>
  <si>
    <t>The relations between perceived discrimination, perceived acceptance of immigrants, acculturation orientations, and acculturation outcomes (psychological and sociocultural adjustment) were investigated in a sample of 232 Iranian refugees in the Netherlands. A good fit was found for a path model with perceived discrimination and perceived acceptance as correlated antecedent variables, acculturation orientations as intervening conditions, and measures of psychological and sociocultural adjustment as outcome variables. Perceived discrimination was the most salient variable in the model and showed significant associations with all outcome measures. Acculturation orientations (partially) mediated the relations between antecedent variables and outcomes. Gender differences were found. Women reported significantly less discrimination, more positive and fewer negative acculturation outcomes than did men. It is concluded that despite the high levels of sociocultural adjustment of Iranian refugees in the Netherlands, perceived discrimination plays an essential role in their acculturation. (PsycINFO Database Record (c) 2016 APA, all rights reserved)</t>
  </si>
  <si>
    <t>http://search.ebscohost.com.proxy-ub.rug.nl/login.aspx?direct=true&amp;db=psyh&amp;AN=2008-17417-009&amp;site=ehost-live&amp;scope=site</t>
  </si>
  <si>
    <t>Perceived discrimination as a risk factor for depressive symptoms and substance use among Hispanic adolescents in Los Angeles.</t>
  </si>
  <si>
    <t>Basáñez, Tatiana; Unger, Jennifer B.; Soto, Daniel; Crano, William; Baezconde-Garbanati, Lourdes</t>
  </si>
  <si>
    <t>2013-20943-002</t>
  </si>
  <si>
    <t>10.1080/13557858.2012.713093</t>
  </si>
  <si>
    <t>Drug Abuse; Major Depression; Risk Factors; Latinos/Latinas; Race and Ethnic Discrimination; Social Discrimination; Adolescence (13-17 yrs); Male; Female</t>
  </si>
  <si>
    <t>Objectives: Discrimination has been associated with adverse psychological and physical health outcomes, but few studies have examined the effects of discrimination on Hispanic adolescents. This study assessed the relation of perceived discrimination with depressive symptoms and drug use. Covariates included immigrant generation status (GS). A second objective was to examine the potentially moderating effect of neighborhoods' ethnic composition as suggested by Mair et al. Design: Secondary data analyses of a longitudinal survey examined self-reports of Hispanic adolescents in 9th grade (the first year of high school) and 11th grade at seven high schools in Los Angeles. Results: (1) Perceiving discrimination in 9th grade significantly predicted depressive symptoms (β = 0.23, p &lt; 0.01) and drug use (β = 0.12, p &lt; 0.01) in 11th grade, even after controlling for socioeconomic status, gender, acculturation, and GS in the USA. The third GS group reported significantly higher perceptions of discrimination compared to newer immigrants. (2) Neighborhoods' ethnic composition was included as a moderator of the association between perceived discrimination and the outcomes, but did not moderate the relation. Conclusion: Teaching Hispanic adolescents effective strategies for coping with discrimination, such as increasing their sense of belongingness in the American mainstream, may prove useful in preventing drug use and depressive symptoms. (PsycINFO Database Record (c) 2016 APA, all rights reserved)</t>
  </si>
  <si>
    <t>http://search.ebscohost.com.proxy-ub.rug.nl/login.aspx?direct=true&amp;db=psyh&amp;AN=2013-20943-002&amp;site=ehost-live&amp;scope=site</t>
  </si>
  <si>
    <t>Perceived racism and blood pressure in foreign-born Mexicans.</t>
  </si>
  <si>
    <t>Merideth, Richard I.</t>
  </si>
  <si>
    <t>2014-99130-581</t>
  </si>
  <si>
    <t>Blood; Blood Pressure; Body Mass Index; Hypertension; Racism; Social Stress; Latinos/Latinas; Adulthood (18 yrs &amp; older)</t>
  </si>
  <si>
    <t>Studies have identified perceived racism as one type of social stress that is believed to contribute to hypertension, though no studies to date have examined the relationship between perceived racism and blood pressure among foreign-born Mexicans living in the United States (U.S.). In addition, studies have shown that acculturation may increase levels of perceived discrimination among foreign-born Mexicans living in the U.S. The primary purpose of this study was to examine the relationship between perceived racism and ambulatory blood pressure among a convenience sample of 332 foreign-born Mexicans living in Utah County, Utah controlling for age, gender, body mass index (BMI), and acculturation. This was done through the use of several multiple regression analyses using archival data collected at Brigham Young University. The Perceived Ethnic Discrimination Questionnaire—Community Version (Brief PEDQ—CV) was used to measure perceived racism. The Acculturation Rating Scale for Mexican Americans (ARSMA-II) was used to measure both language and general acculturation. Four blood pressure variables, including waking systolic blood pressure (WSBP), waking diastolic blood pressure (WDBP), sleeping systolic blood pressure (SSBP), and sleeping diastolic blood pressure (SDBP) were used as outcome variables in the regression analyses. A relationship between perceived racism and any of the ambulatory blood pressure variables used in this study was not found. In addition, English-language acculturation was not found to moderate the relationship between perceived racism and blood pressure in the sample of first generation Mexicans participating in this study. A moderating effect of general acculturation on the relationship between perceived racism and blood pressure was found when controlling for age, BMI, and gender, though this moderating effect disappeared when WDBP was included in the regression model. Implications of findings, limitations, and directions for future research are discussed. Keywords: perceived racism, Perceived Ethnic Discrimination Questionnaire—Community Version (Brief PEDQ—CV), acculturation, Acculturation Rating Scale for Mexican Americans (ARSMA-II), ambulatory blood pressure, immigrants, Mexican, foreign-born. (PsycINFO Database Record (c) 2016 APA, all rights reserved)</t>
  </si>
  <si>
    <t>http://search.ebscohost.com.proxy-ub.rug.nl/login.aspx?direct=true&amp;db=psyh&amp;AN=2014-99130-581&amp;site=ehost-live&amp;scope=site</t>
  </si>
  <si>
    <t>Perceived status and national belonging: The case of Russian speakers in Finland and Estonia.</t>
  </si>
  <si>
    <t>Renvik, Tuuli Anna; Brylka, Asteria; Konttinen, Hanna; Vetik, Raivo; Jasinskaja-Lahti, Inga</t>
  </si>
  <si>
    <t>2018-16324-001</t>
  </si>
  <si>
    <t>10.5334/irsp.149</t>
  </si>
  <si>
    <t>Acculturation; Immigration; Minority Groups; Nationalism; Sociology; Social Perception; Status; Adulthood (18 yrs &amp; older); Young Adulthood (18-29 yrs); Thirties (30-39 yrs); Middle Age (40-64 yrs); Aged (65 yrs &amp; older); Male; Female</t>
  </si>
  <si>
    <t>Despite the abundance of research on disadvantaged minority group members, the research field on the ramifications of low group status is largely split between more material and psychological lines of explanation. There is also a lack of research on how subjectively perceived socio-economic status and discrimination cumulatively affect the sense of national belonging of ethnic minority group members. This survey study was conducted among Russian-speaking immigrants in Finland (N = 316) and Estonia (N = 501). The results in Estonia showed that for national identification to be high, both indicators of subjective group status had to be perceived as relatively high. In Finland, there was no interaction between the two indicators of subjectively perceived low group status. The study shows how perceptions of cumulative disadvantage may provoke a backlash in the form of immigrants’ psychological distancing from the national ingroup. The findings are discussed in relation to the pervasiveness of low status in different intergroup contexts and minority group members’ perceived investments to society. (PsycINFO Database Record (c) 2018 APA, all rights reserved)</t>
  </si>
  <si>
    <t>http://search.ebscohost.com.proxy-ub.rug.nl/login.aspx?direct=true&amp;db=psyh&amp;AN=2018-16324-001&amp;site=ehost-live&amp;scope=site</t>
  </si>
  <si>
    <t>Perez Ambiguous Loss of Homeland scale: Measuring immigrants’ connection to their country of origin.</t>
  </si>
  <si>
    <t>Perez, Rose M.; Arnold-Berkovits, Ilona</t>
  </si>
  <si>
    <t>2019-09130-001</t>
  </si>
  <si>
    <t>10.1177/0739986318824606</t>
  </si>
  <si>
    <t>Immigration; Rating Scales; Sociocultural Factors; Test Construction; Latinos/Latinas; Acculturation; Psychometrics; Refugees; Nostalgia; Adulthood (18 yrs &amp; older); Young Adulthood (18-29 yrs); Thirties (30-39 yrs); Middle Age (40-64 yrs); Aged (65 yrs &amp; older); Very Old (85 yrs &amp; older); Male; Female</t>
  </si>
  <si>
    <t>The present study produced the Perez Ambiguous Loss of Homeland (PALH) scale to measure Spanish-speaking immigrants’ complex psychological connections with their homeland along two dimensions: immigrants’ sense of ambiguous loss of their homeland and their sense of relative satisfaction with the host country (the United States) compared with their sense of satisfaction with their homeland. In Study 1, surveys were administered to 56 participants to refine the scale. In Study 2, psychometric evaluation of cross-sectional data with 344 participants showed high reliability and validity. Exploratory factor analysis generated a three-factor explanation, which aligned with the hypothesized conceptual framework: ambiguous loss of homeland, satisfaction with the homeland, and satisfaction with the United States. A single scale, relative satisfaction was created by taking the difference between the two satisfaction factors. The PALH can be useful in understanding individuals’ psychological challenges with leaving their homeland and adjusting to life in a new country. (PsycInfo Database Record (c) 2020 APA, all rights reserved)</t>
  </si>
  <si>
    <t>http://search.ebscohost.com.proxy-ub.rug.nl/login.aspx?direct=true&amp;db=psyh&amp;AN=2019-09130-001&amp;site=ehost-live&amp;scope=site</t>
  </si>
  <si>
    <t>Perfectionism and eating disorder symptomatology in Chinese immigrants: Mediating and moderating effects of ethnic identity and acculturation.</t>
  </si>
  <si>
    <t>Chan, Carina K. Y.; Owens, R. Glynn</t>
  </si>
  <si>
    <t>Psychology &amp; Health</t>
  </si>
  <si>
    <t>2006-02360-004</t>
  </si>
  <si>
    <t>10.1080/14768320500105312</t>
  </si>
  <si>
    <t>Acculturation; Eating Disorders; Ethnic Identity; Perfectionism; Social Desirability; Chinese Cultural Groups; Immigration; Adulthood (18 yrs &amp; older); Male; Female</t>
  </si>
  <si>
    <t>Three hundred and one Chinese drawn from the University of Auckland and local communities in New Zealand completed an anonymous questionnaire consisting of the Eating Disorder Inventory (EDI), the Positive and Negative Perfectionism Scale (PANPS), the Multigroup Ethnic Identity Measure (MEIM) and the short form of the Marlowe-Crowne Social Desirability Scale (MCSDS). Negative Perfectionism significantly predicted more eating disorder symptoms as measured by the EDI. A strong positive evaluation of other ethnic groups together with high Positive Perfectionism predicted lower body dissatisfaction and drive for thinness, whereas the opposite was true for a more negative evaluation of other groups and high Positive Perfectionism. A strong sense of belonging and attachment towards the Chinese culture and valuing other ethnic groups were found to mediate the relationship between Positive Perfectionism and eating disorder symptoms, predicting a lower sense of interpersonal distrust. Immigrant Chinese showed better adaptation with strong ethnic attachment as well as valuing the mainstream culture. Results also suggest that promoting Positive Perfectionism together with strong ethnic identification and values towards the mainstream culture may be advantageous to Chinese immigrants. (PsycINFO Database Record (c) 2016 APA, all rights reserved)</t>
  </si>
  <si>
    <t>http://search.ebscohost.com.proxy-ub.rug.nl/login.aspx?direct=true&amp;db=psyh&amp;AN=2006-02360-004&amp;site=ehost-live&amp;scope=site</t>
  </si>
  <si>
    <t>Perfectionism and eating disturbances in Korean immigrants: Moderating effects of acculturation and ethnic identity.</t>
  </si>
  <si>
    <t>Chan, Carina K. Y.; Ku, Youngeun; Owens, Richard Glynn</t>
  </si>
  <si>
    <t>2010-24074-009</t>
  </si>
  <si>
    <t>10.1111/j.1467-839X.2010.01326.x</t>
  </si>
  <si>
    <t>Acculturation; Eating Disorders; Ethnic Identity; Perfectionism; Immigration; Childhood (birth-12 yrs); School Age (6-12 yrs); Adolescence (13-17 yrs); Adulthood (18 yrs &amp; older); Young Adulthood (18-29 yrs); Thirties (30-39 yrs); Middle Age (40-64 yrs); Male; Female</t>
  </si>
  <si>
    <t>Korean society highly values personal appearance. Given the established links between perfectionism and eating disorders in Western countries, the present project investigated such links and the extent to which these were moderated by the acculturation patterns of the participants. Korean immigrants to New Zealand (N = 123) completed measures of perfectionism, ethnic identity, eating disorders, and social desirability. Positive and negative perfectionism were associated with eating-disorder symptoms. For males, but not females, negative perfectionism was more strongly associated with increased body satisfaction only among those who identified strongly as Korean. (PsycINFO Database Record (c) 2016 APA, all rights reserved)</t>
  </si>
  <si>
    <t>http://search.ebscohost.com.proxy-ub.rug.nl/login.aspx?direct=true&amp;db=psyh&amp;AN=2010-24074-009&amp;site=ehost-live&amp;scope=site</t>
  </si>
  <si>
    <t>Personal and culture-dependent values as part of minority adolescent identity.</t>
  </si>
  <si>
    <t>Daniel, Ella; Benish-Weisman, Maya; Boehnke, Klaus; Knafo, Ariel</t>
  </si>
  <si>
    <t>2014-27297-006</t>
  </si>
  <si>
    <t>Acculturation; Cross Cultural Differences; Immigration; Values; Ethnic Identity; Sociocultural Factors; Childhood (birth-12 yrs); School Age (6-12 yrs); Adolescence (13-17 yrs); Male; Female</t>
  </si>
  <si>
    <t>Immigrants and minority members often face two or more cultures, and choose their level of adaption to, or adoption of, each culture. A core component of any culture is its prioritization of values. Immigrants and minority members learn diverging value hierarchies from their multiple cultures, and as a result, may hold a complex value system. In this chapter, we propose that immigrants and minority members hold contextualized value systems relevant to the values of the country of residence and of the ethnic-group. We investigate the value priorities of countries (Israel and Germany) and of ethnic-groups (former Soviet Union immigrants, Arab citizens of Israel, Turkish immigrants). We examine the relations between these modal group values and the contextualized values of group members. Last, we examine the interaction between the contextualized values and acculturation strategies. The research adds to the existing literature in its focus on acculturation in value priorities across contexts, and in its large cross cultural sample. (PsycINFO Database Record (c) 2019 APA, all rights reserved)</t>
  </si>
  <si>
    <t>http://search.ebscohost.com.proxy-ub.rug.nl/login.aspx?direct=true&amp;db=psyh&amp;AN=2014-27297-006&amp;site=ehost-live&amp;scope=site</t>
  </si>
  <si>
    <t>Personal and Group Acculturation Attitudes and Adjustment: Russian and Ethiopian Immigrants in Israel.</t>
  </si>
  <si>
    <t>Kurman, Jenny; Eshel, Yohanan; Zehavi, Nirit</t>
  </si>
  <si>
    <t>2005-10981-005</t>
  </si>
  <si>
    <t>10.1111/j.1559-1816.2005.tb02155.x</t>
  </si>
  <si>
    <t>Acculturation; Attitudes; Emotional Adjustment; Group Dynamics; Immigration; Adulthood (18 yrs &amp; older); Young Adulthood (18-29 yrs); Male; Female</t>
  </si>
  <si>
    <t>The adjustment of 2 groups of immigrant students in an Israeli university was investigated as a function of their acculturation attitudes and the perceived attitude of the host society. Acculturation attitudes were divided into group attitudes representing generalized aims of the group, and personal attitudes pertaining to individual aims of acculturation that deviate from these group aims. We argued that a preference for acculturation attitudes that contradicted the group consensus would be detrimental to immigrants' psychological adjustment, whereas normative attitudes would not adversely affect this adjustment. It was hypothesized further that personal and group attitudes would not have different effects on social adjustment and that both facets of adjustment would be affected by the attitude of the majority. The data generally supported the research hypotheses. (PsycINFO Database Record (c) 2016 APA, all rights reserved)</t>
  </si>
  <si>
    <t>http://search.ebscohost.com.proxy-ub.rug.nl/login.aspx?direct=true&amp;db=psyh&amp;AN=2005-10981-005&amp;site=ehost-live&amp;scope=site</t>
  </si>
  <si>
    <t>Personal support networks of immigrants to Spain: A multilevel analysis.</t>
  </si>
  <si>
    <t>de Miguel Luken, Verónica; Tranmer, Mark</t>
  </si>
  <si>
    <t>2010-20380-001</t>
  </si>
  <si>
    <t>10.1016/j.socnet.2010.03.002</t>
  </si>
  <si>
    <t>Ego; Immigration; Social Integration; Social Networks; Social Support; Adulthood (18 yrs &amp; older); Young Adulthood (18-29 yrs); Thirties (30-39 yrs); Middle Age (40-64 yrs); Male; Female</t>
  </si>
  <si>
    <t>Immigrant flows to Spain have increased greatly in the last decade, but little is known about the composition and role of their personal support networks. Our research questions are: (1) Which factors are associated with ties between immigrants and ‘Spaniards’ (the more settled resident Spanish population), compared with immigrants and non-Spaniards (other immigrants)? (2) Do the support roles of Spaniards and non-Spaniards differ? We analyse personal network (ego-net) survey data. Multilevel logistic regression models are applied, in which the unit of analysis is the undirected tie between an immigrant (ego) and an alter and the dependent variable is whether this tie is to a Spaniard alter, as opposed to a non-Spaniard. We determine the characteristics that are most strongly associated with the probability of a tie between an immigrant and a Spaniard, compared with a non-Spaniard, and consider characteristics of the immigrants (ego), the alters, the relative characteristics of ego-alter, support roles, and local geographical factors. We find a tie to a Spaniard alter is more likely if the immigrant’s country of birth is Portugal or Eastern Europe; if the alter is a work colleague or neighbour; if alter is older than ego. There is geographical variation in the probability of ties to Spaniards, partly explained by the local area presence of co-nationals from the same country of origin as the immigrant. A tie to a Spaniard alter is less likely for immigrants from North Africa (Maghreb); those with no previous contact with Spain; those who are not the first of their peer group/family to immigrate; if ego and alter both work in agriculture. Material help is more likely to be exchanged with a Spaniard alter. Non-Spaniard alters are more likely to exchange help with accommodation and information. ‘Finding a job’ is equally associated with Spaniard and non-Spaniard alters. A tentative conclusion is that some combinations of these characteristics, where a tie to a Spaniard is less likely, may be associated with higher levels of prejudice. Conversely, those characteristics that are positively associated with a tie to a Spaniard may indicate situations where integration of the immigrant population with Spaniards is successfully taking place, and where prejudices are lower, or non-existent. These findings may therefore be helpful for targeting resources to reduce such prejudices. The different types of support exchanged between immigrants and Spaniards and immigrants and non-Spaniards, may indicate current shortfalls in this process, as well as indicating where this support is successfully being exchanged. (PsycINFO Database Record (c) 2017 APA, all rights reserved)</t>
  </si>
  <si>
    <t>http://search.ebscohost.com.proxy-ub.rug.nl/login.aspx?direct=true&amp;db=psyh&amp;AN=2010-20380-001&amp;site=ehost-live&amp;scope=site</t>
  </si>
  <si>
    <t>Personal values and the acceptance of immigrants: Why national identification matters.</t>
  </si>
  <si>
    <t>Miglietta, Anna; Tartaglia, Stefano; Loera, Barbara</t>
  </si>
  <si>
    <t>Revista de Psicología Social</t>
  </si>
  <si>
    <t>2018-40970-008</t>
  </si>
  <si>
    <t>10.1080/02134748.2018.1482058</t>
  </si>
  <si>
    <t>Acculturation; Attitudes; Immigration; Minority Groups; Personal Values; Intergroup Dynamics; Nationalism; Patriotism; Adolescence (13-17 yrs); Male; Female</t>
  </si>
  <si>
    <t>The study focused on the relations between Italian nationals’ personal values and their expectations towards the way ethnic minorities should acculturate. The main aim was to understand whether nationals’ personal values predict their acculturation preferences towards immigrants, both directly and through national identity. Four hundred and forty-six Italian high school students (Mage = 19.1; SD = 0.57; females = 54.4%) completed a self-administered questionnaire assessing personal values, nationalism, patriotism, acculturation preferences and demographics. An SEM model with bootstrapping estimations was tested. As expected, the results highlighted that personal values predict acculturation preferences towards immigrants in two ways—directly and also through an indirect effect on nationalism—supporting the claim that ingroup and outgroup definitions are closely intertwined. The results also highlighted the need to differentiate between nationalism and patriotism, with the latter having no influence on Italian nationals’ readiness to accept immigrants. Overall, the research demonstrates the relevance of personal values in studying intergroup relations and draws attention to the potential value of communication policies centred on self-transcendence values to improve interethnic relations. (PsycINFO Database Record (c) 2019 APA, all rights reserved)</t>
  </si>
  <si>
    <t>http://search.ebscohost.com.proxy-ub.rug.nl/login.aspx?direct=true&amp;db=psyh&amp;AN=2018-40970-008&amp;site=ehost-live&amp;scope=site</t>
  </si>
  <si>
    <t>Personal views about aging among Korean American older adults: The role of physical health, social network, and acculturation.</t>
  </si>
  <si>
    <t>Kim, Giyeon; Jang, Yuri; Chiriboga, David A.</t>
  </si>
  <si>
    <t>2012-17246-003</t>
  </si>
  <si>
    <t>10.1007/s10823-012-9165-2</t>
  </si>
  <si>
    <t>Acculturation; Aging (Attitudes Toward); Korean Cultural Groups; Psychosocial Factors; Social Networks; Health; Immigration; Adulthood (18 yrs &amp; older); Middle Age (40-64 yrs); Aged (65 yrs &amp; older); Very Old (85 yrs &amp; older); Male; Female</t>
  </si>
  <si>
    <t>Given the importance of a positive attitude towards one’s own aging, we examined its predictors in a sample of 230 Korean American older adults (Mage = 69.8 years, SD = 7.05). Personal views about aging, measured with a subscale of the Philadelphia Geriatric Center Morale Scale (PGCMS), were regressed on demographic variables, physical health-related factors, and psychosocial attributes (social network and acculturation). Results from the hierarchical regression analysis showed that better physical health conditions (fewer chronic conditions, less functional disability, and better vision) were associated with more positive personal views about aging. Other significant contributors included larger social networks and higher levels of acculturation. Findings suggest that personal views about aging among immigrant elderly populations can be enhanced by promoting physical health, social connectedness, and acculturation. Ways to maintain and improve positive attitudes about personal aging are discussed in a cultural context. (PsycINFO Database Record (c) 2016 APA, all rights reserved)</t>
  </si>
  <si>
    <t>http://search.ebscohost.com.proxy-ub.rug.nl/login.aspx?direct=true&amp;db=psyh&amp;AN=2012-17246-003&amp;site=ehost-live&amp;scope=site</t>
  </si>
  <si>
    <t>Physical activity in a culturally and linguistically diverse population of South Asian women.</t>
  </si>
  <si>
    <t>Siddiqui, Aisha</t>
  </si>
  <si>
    <t>2014-99140-177</t>
  </si>
  <si>
    <t>Diabetes; Epidemics; Exercise; Heart Disorders; Obesity; Heart; Human Females; South Asian Cultural Groups</t>
  </si>
  <si>
    <t>Obesity is one of the fastest growing epidemics in the US and it is alarming because it is linked to many serious diseases including diabetes and heart disease. South Asians have a disproportionately higher prevalence of type 2 diabetes and cardiovascular diseases. Evidence suggests a strong association between physical inactivity and the absolute risk of heart disease and diabetes. After controlling for age and socioeconomic status, female immigrants were found to be less likely to engage in any leisure time physical activities and more likely to have a high BMI. There is a serious concern that South Asians engage in less leisure time physical activity. Very little is known about South Asian women's appreciation of physical activity and how it is related to their acculturation. The purpose of this study was to collect exploratory data on the levels of physical activity and acculturation among South Asian women. A cross-sectional mixed methods study was conducted using qualitative focus groups and quantitative survey for methodological triangulation. The study sampled South Asian women of Bangladeshi, Indian, or Pakistani descent, at least 18 years old, living in the Houston metropolitan area. The results from both the qualitative and the quantitative data suggested that physical activity was low among South Asian women. The qualitative data showed that the sampled population generally had no or inconsequential issues with the sociocultural adaptations and they learned the benefits of physical activity while living in the United States but their psychological adaptation was hampered mainly by their religious and cultural beliefs. The main reasons for insufficient physical activity were lack of time or energy and modest dressing requirements. More than half of the study participants were interested in physical activity programs specifically designed for South Asian women and most of them used social media but they were not interested in an online physical activity program. The conclusion of this study was that language is not a major limiting factor in the acculturation of South Asian women and is not a good measure of their acculturation. A blatant difference in their lifestyles is deep rooted in religious and cultural beliefs and more research in this area will help greatly. (PsycINFO Database Record (c) 2016 APA, all rights reserved)</t>
  </si>
  <si>
    <t>http://search.ebscohost.com.proxy-ub.rug.nl/login.aspx?direct=true&amp;db=psyh&amp;AN=2014-99140-177&amp;site=ehost-live&amp;scope=site</t>
  </si>
  <si>
    <t>Pilot Survey of HIV Risk and Contextual Problems and Issues In Mexican/Latino Migrant Day Laborers.</t>
  </si>
  <si>
    <t>Organista, Kurt C.; Kubo, Ai</t>
  </si>
  <si>
    <t>2005-11158-003</t>
  </si>
  <si>
    <t>10.1007/s10903-005-5124-0</t>
  </si>
  <si>
    <t>Foreign Workers; HIV; Psychosocial Factors; Sexual Risk Taking; Latinos/Latinas; AIDS; Immigration; Mexican Americans; Sexually Transmitted Diseases; Sexual Partners; Adulthood (18 yrs &amp; older); Male; Female</t>
  </si>
  <si>
    <t>A preliminary survey was conducted with 102 migrant day laborers (MDLs) to assess HIV risk and related contextual problems and issues. These men were primarily Mexican, of low SES background, low in acculturation to the United States, and their income ranged from $100 and $400 a week, 40% of which is sent back home. The psychosocial context of HIV risk included concerns expressed about lack of money and employment, followed by racism, social isolation, sadness and loneliness. High rates of alcohol use and binge drinking that co-occur with sexual activities were reported. While only 7% of MDLs reported illegal injection drug use, needles were frequently shared without bleach cleaning. Men generally did not carry condoms and knowledge of proper condom use was poor. For the most common form of sex reported, vaginal sex, condom use was infrequent. However, men did report confidence in being able to insist on condom use in challenging sexual situations, and they also reported fairly frequent pro-condom attitudes and behaviors within their social circles. Slightly over half of the men reported sexual activity with female partners, during the past 2 months. These female partners were almost evenly divided into regular sex partners, including spouses, and riskier partners such as one time only sex partners, prostitutes, and multiple sex partners. Results also indicated encouraging efforts by MDLs to reduce risk with risky partners (e.g., more condom use). (PsycINFO Database Record (c) 2016 APA, all rights reserved)</t>
  </si>
  <si>
    <t>http://search.ebscohost.com.proxy-ub.rug.nl/login.aspx?direct=true&amp;db=psyh&amp;AN=2005-11158-003&amp;site=ehost-live&amp;scope=site</t>
  </si>
  <si>
    <t>Place matters: The impact of place of residency on racial attitudes among regional and urban migrants.</t>
  </si>
  <si>
    <t>Carter, J. Scott; Carter, Shannon K.</t>
  </si>
  <si>
    <t>2014-24416-013</t>
  </si>
  <si>
    <t>10.1016/j.ssresearch.2014.04.001</t>
  </si>
  <si>
    <t>Human Migration; Racial and Ethnic Attitudes; Regional Differences; Urban Environments; Adulthood (18 yrs &amp; older); Male; Female</t>
  </si>
  <si>
    <t>Scholars have debated whether racial attitudes are socialized early in life and persist throughout one’s lifetime or are open to influences from one’s environment as an adult. This study introduces another approach that holds that place, as opposed to the timing of socialization, is an important consideration for the socialization of racial attitudes. Using data from the American National Election Study, we consider the effect of region and urban residency on racial attitudes by comparing lifelong residents of these locations to those who migrate into and out of them. Using improved measures of early life socialization and region of residency, we conclude that a place-based model can be used to explain the socialization of racial resentment. For regional migrants, those moving into and out of the non-South maintain levels of racial resentment similar to non-Southern stayers. For urban migrants, the lifelong openness model of socialization was most appropriate. These migrants were more likely to change and adopt the level of racial resentment similar to that of their destination peers. These findings generally persist across time. (PsycINFO Database Record (c) 2017 APA, all rights reserved)</t>
  </si>
  <si>
    <t>http://search.ebscohost.com.proxy-ub.rug.nl/login.aspx?direct=true&amp;db=psyh&amp;AN=2014-24416-013&amp;site=ehost-live&amp;scope=site</t>
  </si>
  <si>
    <t>Placing self and other: Imaginaries of urban diversity and productive discontent.</t>
  </si>
  <si>
    <t>Hoekstra, Myrte Sophie</t>
  </si>
  <si>
    <t>Emotion, Space and Society</t>
  </si>
  <si>
    <t>2019-71737-001</t>
  </si>
  <si>
    <t>10.1016/j.emospa.2019.100629</t>
  </si>
  <si>
    <t>Diversity; Geography; Human Migration; Subjectivity; Anxiety; Nationalism; Social Integration; Urban Environments; Multiculturalism; Adulthood (18 yrs &amp; older)</t>
  </si>
  <si>
    <t>The white working-class resident living in increasingly multi-ethnic urban neighbourhoods is a key trope in debates around migrant integration and national identity in Western Europe. Such residents are imagined to feel out of place due to the influx of migrants in ‘their’ neighbourhoods. This paper engages with the anxiety, discontent, and resentment experienced by a sub-set of residents in a multi-ethnic neighbourhood in Amsterdam, the Netherlands. I show how these emotions are grounded in everyday interactions with ‘Others’ but also stem from residents' placed subjectivities: perceptions of the self in relation to symbolic and material geographies of the city and the nation. Placed subjectivities in turn informed how residents were (not) able to deal with difference. While some residents demonstrated a by now familiar rhetoric of discontent, others developed new ways of interacting with place and defining their own position, despite their discomfort. These ‘productive discontents’ might allow for small-scale and ambivalent forms of neighbouring across difference. (PsycInfo Database Record (c) 2020 APA, all rights reserved)</t>
  </si>
  <si>
    <t>http://search.ebscohost.com.proxy-ub.rug.nl/login.aspx?direct=true&amp;db=psyh&amp;AN=2019-71737-001&amp;site=ehost-live&amp;scope=site</t>
  </si>
  <si>
    <t>Postpartum depression in immigrant Hispanic women: A comparative community sample.</t>
  </si>
  <si>
    <t>Shellman, Laura; Beckstrand, Renea L.; Callister, Lynn C.; Luthy, Karlen E.; Freeborn, Donna</t>
  </si>
  <si>
    <t>Journal of the American Association of Nurse Practitioners</t>
  </si>
  <si>
    <t>2016-08299-005</t>
  </si>
  <si>
    <t>10.1002/2327-6924.12088</t>
  </si>
  <si>
    <t>Communities; Immigration; Postpartum Depression; Clinics; Human Females; Symptoms; Adolescence (13-17 yrs); Adulthood (18 yrs &amp; older); Young Adulthood (18-29 yrs); Thirties (30-39 yrs); Female</t>
  </si>
  <si>
    <t>Purpose: To determine whether a high rate of postpartum depression (PPD), previously found in immigrant Hispanic women at a community clinic, would also be found in a community sample. Data sources: Sixty women from local community settings were given the PPDS-S instrument and the General Acculturation Index to screen for PPD symptoms. Data were then compared with previously published community clinic data. Conclusion: Sixty percent of the immigrant Hispanic women showed significant PPD. The only statistically significant positive predictive factor for increased PPD symptoms was having a previous history of depression. In addition, 54% had an elevated symptom content profile score for suicidal thinking. Implications for practice: Health practitioners should be aware of a potentially high rate of PPD in this population, especially in light of previously studied increased rates of suicide attempts in Latinas. If a prior history of depression is predictive of PPD, it is possible that many of the mothers in our sample suffered from depression prior to the postpartum period, but were not appropriately diagnosed or treated. Recommendations for outreach and further research are discussed. In particular, further research regarding the prenatal prevalence of depression in immigrant Hispanic women is recommended in order to further understand the high incidence of PPD. (PsycINFO Database Record (c) 2016 APA, all rights reserved)</t>
  </si>
  <si>
    <t>http://search.ebscohost.com.proxy-ub.rug.nl/login.aspx?direct=true&amp;db=psyh&amp;AN=2016-08299-005&amp;site=ehost-live&amp;scope=site</t>
  </si>
  <si>
    <t>Predicting immigrants' attitudes toward multiculturalism using a measure of its perceived benefits.</t>
  </si>
  <si>
    <t>Grant, Peter R.; Robertson, Daniel W.</t>
  </si>
  <si>
    <t>Basic and Applied Social Psychology</t>
  </si>
  <si>
    <t>2014-21910-003</t>
  </si>
  <si>
    <t>10.1080/01973533.2014.890622</t>
  </si>
  <si>
    <t>Adult Attitudes; Immigration; Multiculturalism; Ideology; Government Policy Making; Minority Groups; Social Identity; Adolescence (13-17 yrs); Adulthood (18 yrs &amp; older); Young Adulthood (18-29 yrs); Thirties (30-39 yrs); Middle Age (40-64 yrs); Aged (65 yrs &amp; older); Male; Female</t>
  </si>
  <si>
    <t>We examined the predictors of attitudes toward multiculturalism in a sample of Asian and African immigrants. Multiculturalism was measured in terms of its perceived benefits as realized through Canadian government policy. As well as replicating past findings, two hypotheses derived from social identity theory are supported: Canadian identity and acculturation into Canadian society were significant predictors of attitudes toward multiculturalism. Counter to previous research findings, perceived discrimination was a negative predictor of these attitudes. The distinction between predicting support for attitudes toward multiculturalism measured as an ideology versus attitudes toward multiculturalism measured in terms of its perceived benefits is discussed. (PsycINFO Database Record (c) 2016 APA, all rights reserved)</t>
  </si>
  <si>
    <t>http://search.ebscohost.com.proxy-ub.rug.nl/login.aspx?direct=true&amp;db=psyh&amp;AN=2014-21910-003&amp;site=ehost-live&amp;scope=site</t>
  </si>
  <si>
    <t>Predictive factors of acculturation attitudes and social support among Asian immigrants in the USA.</t>
  </si>
  <si>
    <t>Choi, Jong Baek; Thomas, Madhavappallil</t>
  </si>
  <si>
    <t>International Journal of Social Welfare</t>
  </si>
  <si>
    <t>2008-18151-007</t>
  </si>
  <si>
    <t>10.1111/j.1468-2397.2008.00567.x</t>
  </si>
  <si>
    <t>Acculturation; Attitudes; Immigration; Social Support; Sociocultural Factors; Asians; Risk Factors; Social Casework; Social Work Education; Adulthood (18 yrs &amp; older); Young Adulthood (18-29 yrs); Thirties (30-39 yrs); Middle Age (40-64 yrs); Aged (65 yrs &amp; older); Very Old (85 yrs &amp; older); Male; Female</t>
  </si>
  <si>
    <t>This study examines acculturation attitude and its relation to social support among Asian immigrants. The data were collected from 242 Korean, Indian and Filipino immigrants in the USA using the Acculturation Attitude Scale and the Social Support Index. Findings showed that Koreans had a less positive attitude toward acculturation than did Indian and Filipino participants. Acculturation attitude was positively correlated with educational level and English fluency. This study also found a negative correlation between acculturation attitude and social support. Social support from friends and English fluency were identified as significant predictor variables in determining the level of acculturation attitude. These findings not only contribute to social work education and practice, but also increase cultural sensitivity and awareness in working with these populations. (PsycINFO Database Record (c) 2016 APA, all rights reserved)</t>
  </si>
  <si>
    <t>http://search.ebscohost.com.proxy-ub.rug.nl/login.aspx?direct=true&amp;db=psyh&amp;AN=2008-18151-007&amp;site=ehost-live&amp;scope=site</t>
  </si>
  <si>
    <t>Predictive validity of the host community acculturation scale: The effects of social dominance orientation and the belief in biological determinism.</t>
  </si>
  <si>
    <t>Andrighetto, Luca; Trifiletti, Elena; Pasin, Anna; Capozza, Dora</t>
  </si>
  <si>
    <t>2008-16332-003</t>
  </si>
  <si>
    <t>Acculturation; Determinism; Dominance; Rating Scales; Statistical Validity; Biology; Multiple Regression; Predictive Validity; Test Validity; Social Dominance; Adulthood (18 yrs &amp; older); Male; Female</t>
  </si>
  <si>
    <t>In this study, the predictive validity of the Italian version of the host community acculturation scale (HCAS; Barrette, Bourhis, Capozza, &amp; Hichy, 2005) was tested using multiple regression. Participants (university students) completed the HCAS for three target groups (Immigrants, the Chinese, Albanians). Acculturation attitudes were measured in the domains of employment and cultural heritage. Social dominance orientation (SDO; Sidanius &amp; Pratto, 1999), national and political identification were used as predictors for each acculturation orientation. In line with previous research, results showed that SDO was the main predictor of the acculturation orientations. Authors hypothesized that the effect of SDO was mediated by the belief in genetic determinism (BDG; Keller, 2005), namely, the belief that members of social categories share immutable characteristics, fixed in the genes. Results supported the hypothesis, but only in the culture domain and for the rejection orientations. (PsycInfo Database Record (c) 2020 APA, all rights reserved)</t>
  </si>
  <si>
    <t>http://search.ebscohost.com.proxy-ub.rug.nl/login.aspx?direct=true&amp;db=psyh&amp;AN=2008-16332-003&amp;site=ehost-live&amp;scope=site</t>
  </si>
  <si>
    <t>Predictors and consequences of negative attitudes toward immigrants in Belgium and Turkey: The role of acculturation preferences and economic competition.</t>
  </si>
  <si>
    <t>Zagefka, Hanna; Brown, Rupert; Broquard, Murielle; Martin, Sibel Leventoglu</t>
  </si>
  <si>
    <t>2007-03643-008</t>
  </si>
  <si>
    <t>10.1348/014466606X111185</t>
  </si>
  <si>
    <t>British Psychological Society</t>
  </si>
  <si>
    <t>Acculturation; Community Attitudes; Competition; Economics; Immigration; Preferences; Social Class; Consequence; Adulthood (18 yrs &amp; older); Young Adulthood (18-29 yrs); Thirties (30-39 yrs); Middle Age (40-64 yrs); Aged (65 yrs &amp; older); Male; Female</t>
  </si>
  <si>
    <t>This research tested predictors and consequences of majority members' negative attitudes towards immigrants in Belgium and Turkey. It tested a mediation model in which economic competition and a perceived preference of the immigrants for culture maintenance have negative effects on majority members' own acculturation preference for integration, and where a perceived preference of the immigrants for contact has a positive effect. The effects of all three predictors were hypothesized to be mediated by negative attitudes toward immigrants. Two survey studies were conducted, one in Belgium (N = 106) and one in Turkey (N = 93). Results showed that, as hypothesized, 'economic competition' and a 'perceived preference for contact' had indirect effects on 'own acculturation preference' for integration, and 'negative attitude' was the mediator. 'Perceived preference for cultural maintenance' had a direct effect on 'own acculturation preference'. (PsycINFO Database Record (c) 2016 APA, all rights reserved)</t>
  </si>
  <si>
    <t>http://search.ebscohost.com.proxy-ub.rug.nl/login.aspx?direct=true&amp;db=psyh&amp;AN=2007-03643-008&amp;site=ehost-live&amp;scope=site</t>
  </si>
  <si>
    <t>Predictors of acculturation attitudes among professional Chinese immigrants in the Australian workplace.</t>
  </si>
  <si>
    <t>Journal of Management &amp; Organization</t>
  </si>
  <si>
    <t>2016-02491-004</t>
  </si>
  <si>
    <t>10.1017/jmo.2015.19</t>
  </si>
  <si>
    <t>Acculturation; Chinese Cultural Groups; Employee Characteristics; Immigration; Adulthood (18 yrs &amp; older); Young Adulthood (18-29 yrs); Thirties (30-39 yrs); Middle Age (40-64 yrs); Male; Female</t>
  </si>
  <si>
    <t>Professional Chinese immigrants (PCIs) are expected to substantially contribute to the relief of skills shortage and the bolstering of Australia’s economic and social development. However, they have encountered many adjustment difficulties arising from cultural and social differences after entering into the Australian workplace. There is a dearth of research to shed light on the adaptation of PCIs in Australia. To bridge this gap, this paper investigates PCIs’ acculturation preference and explores the predictors of each acculturation attitude. Our survey of a sample of 220 PCIs revealed that PCIs have a predominant preference to maintain their home culture, whereas logistic regressions revealed that length of residence in the host country, English proficiency, perceived social support at work and interdependent self-construal could predict the acculturation choices among PCIs. This study provides valuable information for managers and organizations in developing effective acculturation programs to assist immigrant employees with adaptation to a new workplace. (PsycINFO Database Record (c) 2016 APA, all rights reserved)</t>
  </si>
  <si>
    <t>http://search.ebscohost.com.proxy-ub.rug.nl/login.aspx?direct=true&amp;db=psyh&amp;AN=2016-02491-004&amp;site=ehost-live&amp;scope=site</t>
  </si>
  <si>
    <t>Predictors of acculturative hassles among Vietnamese refugees in Norway: Results from a long-term longitudinal study.</t>
  </si>
  <si>
    <t>Tingvold, Laila; Vaage, Aina Basilier; Allen, James; Wentzel-Larsen, Tore; van Ta, Thong; Hauff, Edvard</t>
  </si>
  <si>
    <t>2015-45495-008</t>
  </si>
  <si>
    <t>10.1177/1363461515572208</t>
  </si>
  <si>
    <t>Acculturation; Health Care Psychology; Mental Health; Distress; Refugees; Adulthood (18 yrs &amp; older); Male; Female</t>
  </si>
  <si>
    <t>We investigated acculturative hassles in a community cohort of Vietnamese refugees in Norway (n = 61), exploring cross-sectional data and longitudinal predictors of acculturative hassles using data from their arrival in Norway in 1982 (T1), with follow up in 1985 (T2) and in 2005–2006 (T3). To our knowledge, this is the first longitudinal study of predictors of acculturative hassles in a refugee population. Results indicated that more communication problems and less Norwegian language competence were related to most hassles at T3. Higher psychological distress, lower quality of life, lower self-reported state of health, and less education at T3 were associated with higher levels of hassles at T3. More psychological distress at T2 and less education at arrival (T1) were significant predictors for more acculturative hassles at T3. These data suggest that addressing psychological distress during the early phase in a resettlement country may promote long-term refugee adjustment and, in particular, reduce exposure to acculturative hassles. (PsycINFO Database Record (c) 2016 APA, all rights reserved)</t>
  </si>
  <si>
    <t>http://search.ebscohost.com.proxy-ub.rug.nl/login.aspx?direct=true&amp;db=psyh&amp;AN=2015-45495-008&amp;site=ehost-live&amp;scope=site</t>
  </si>
  <si>
    <t>Predictors of adaptation among adolescents from immigrant families in Portugal.</t>
  </si>
  <si>
    <t>Neto, Felix</t>
  </si>
  <si>
    <t>Journal of Comparative Family Studies</t>
  </si>
  <si>
    <t>2011-07983-009</t>
  </si>
  <si>
    <t>University of Calgary/Dept of Sociology</t>
  </si>
  <si>
    <t>Adolescent Development; Emotional Adjustment; Family; Immigration; Sociocultural Factors; Adolescence (13-17 yrs); Male; Female</t>
  </si>
  <si>
    <t>The aims of this study were to investigate the degree of psychological and sociocultural adaptation among adolescents with immigrant background in Portugal and the factors that may predict adaptation. The study sample consisted of 755 immigrant adolescents from seven ethnocultural groups (Cape Verdeans, Angolans, Indians, Mozambicans, East Timorese, Sao Tomese, and Guineans) and 320 native Portuguese adolescents. Adolescents from immigrant families reported similar adaptation to that of their native Portuguese counterparts. Predictive factors–sociodemographic and intercultural contact variables– were significantly linked to youths’ adaptation. (PsycINFO Database Record (c) 2017 APA, all rights reserved)</t>
  </si>
  <si>
    <t>http://search.ebscohost.com.proxy-ub.rug.nl/login.aspx?direct=true&amp;db=psyh&amp;AN=2011-07983-009&amp;site=ehost-live&amp;scope=site</t>
  </si>
  <si>
    <t>Predictors of breast examination practices of Chinese immigrants.</t>
  </si>
  <si>
    <t>Chen, Wei-Ti</t>
  </si>
  <si>
    <t>Cancer Nursing</t>
  </si>
  <si>
    <t>2008-19306-007</t>
  </si>
  <si>
    <t>10.1097/01.NCC.0000343366.21495.c1</t>
  </si>
  <si>
    <t>Breast Neoplasms; Cancer Screening; Health Knowledge; Human Females; Physical Illness (Attitudes Toward); Adulthood (18 yrs &amp; older); Young Adulthood (18-29 yrs); Thirties (30-39 yrs); Middle Age (40-64 yrs); Aged (65 yrs &amp; older); Female</t>
  </si>
  <si>
    <t>Breast cancer is a significant threat to Chinese women living in the United States. The purposes of this study are, first, to examine the relationships among breast cancer risk knowledge, general cancer beliefs, and breast examination practices and, second, to determine the predictors of breast examination practices among Chinese women in New York. The study offers a descriptive approach that makes use of a correlation cross-sectional survey (N = 135). Five significant predictors are related to breast examination practices as a result of the study findings: age, acculturation, private insurance status, legal status, and length of stay in New York. Findings show that women who have regular breast examinations most likely belong to older generations, as compared with their younger peers. Study findings suggest that healthcare providers must become more culturally sensitive to the practices and needs of Chinese immigrants. Evidently, providing information regarding cancer prevention targeted for female Chinese immigrants can help increase use of cancer screening tests. (PsycINFO Database Record (c) 2016 APA, all rights reserved)</t>
  </si>
  <si>
    <t>http://search.ebscohost.com.proxy-ub.rug.nl/login.aspx?direct=true&amp;db=psyh&amp;AN=2008-19306-007&amp;site=ehost-live&amp;scope=site</t>
  </si>
  <si>
    <t>Predictors of Condom use in Latino migrant day laborers.</t>
  </si>
  <si>
    <t>Organista, Kurt C.; Ehrlich, Samantha F.</t>
  </si>
  <si>
    <t>2008-10118-007</t>
  </si>
  <si>
    <t>10.1177/0739986308320881</t>
  </si>
  <si>
    <t>Condoms; Human Migration; Psychosexual Behavior; Latinos/Latinas; Personnel; Sexual Partners; Adulthood (18 yrs &amp; older); Young Adulthood (18-29 yrs); Thirties (30-39 yrs); Middle Age (40-64 yrs); Male; Female</t>
  </si>
  <si>
    <t>This article reports on predictors of condom use with casual female sex partners on the part of Latino migrant day laborers in the San Francisco Bay Area. Results come from a secondary analysis of data from a cross-sectional survey using convenience sampling to interview 290 sexually active adult, male, migrant Latino day laborers. Regression analysis of sociodemographic background, behavioral, and psychosocial predictor factors revealed a number of significant findings. Men with wives or partners currently living in Mexico were almost 4.5 times more likely to use condoms with casual female sex partners compared to men accompanied by wives or partners in California. It was also found that men at high sexual risk for HIV with casual female partners were more than 5.5 times more likely to use condoms than men at low risk. Interpretations of findings and implications for HIV prevention with this unique and especially marginalized population of Latinos are discussed. (PsycINFO Database Record (c) 2016 APA, all rights reserved)</t>
  </si>
  <si>
    <t>http://search.ebscohost.com.proxy-ub.rug.nl/login.aspx?direct=true&amp;db=psyh&amp;AN=2008-10118-007&amp;site=ehost-live&amp;scope=site</t>
  </si>
  <si>
    <t>Predictors of ethno-cultural identity conflict among South Asian immigrant youth in new Zealand.</t>
  </si>
  <si>
    <t>Stuart, Jaimee; Ward, Colleen</t>
  </si>
  <si>
    <t>2011-14807-001</t>
  </si>
  <si>
    <t>10.1080/10888691.2011.587717</t>
  </si>
  <si>
    <t>Conflict; Cross Cultural Differences; Ethnic Identity; Immigration; Intergenerational Relations; Adolescent Development; Attachment Behavior; Family Relations; Cultural Identity; Adolescence (13-17 yrs); Adulthood (18 yrs &amp; older); Young Adulthood (18-29 yrs); Male; Female</t>
  </si>
  <si>
    <t>The study tested a predictive model of ethno-cultural identity conflict (EIC) in a sample of 262 first-generation South Asian youth (aged 16–26, M = 19.4) in New Zealand. Hierarchical multiple regression was used to investigate the influence of: 1) attachment styles (pre-occupied, dismissive, secure, and fearful); 2) family relations (intergenerational conflict and family cohesion); 3) ethnic (belonging, centrality, and exploration) and national identities; and 4) interactions between the components of ethnic and national identity. Controlling for demographic factors, results indicated that a preoccupied attachment style and experiences of acculturative intergenerational conflict exacerbated EIC, whereas family cohesion, ethnic identity centrality, and ethnic group belonging protected against EIC. It was also found that national identity moderated the effects of ethnic identity on EIC. Overall, these findings suggest positive self-regard, family cohesion, and integrated achieved identities should be promoted for immigrant youth. (PsycInfo Database Record (c) 2020 APA, all rights reserved)</t>
  </si>
  <si>
    <t>http://search.ebscohost.com.proxy-ub.rug.nl/login.aspx?direct=true&amp;db=psyh&amp;AN=2011-14807-001&amp;site=ehost-live&amp;scope=site</t>
  </si>
  <si>
    <t>Predictors of HIV Transmission Among Migrant and Marginally Housed Latinos.</t>
  </si>
  <si>
    <t>Denner, Jill; Organista, Kurt C.; Dupree, John David; Thrush, Gregory</t>
  </si>
  <si>
    <t>2005-06075-008</t>
  </si>
  <si>
    <t>10.1007/s10461-005-3901-3</t>
  </si>
  <si>
    <t>HIV; Housing; Human Migration; Sexual Risk Taking; Latinos/Latinas; At Risk Populations; Disease Transmission; Adulthood (18 yrs &amp; older); Young Adulthood (18-29 yrs); Thirties (30-39 yrs); Male; Female</t>
  </si>
  <si>
    <t>This study examined predictors of HIV-related sexual risk taking in a high risk and understudied convenience sample of 366 predominantly Mexican, migrant adults without stable housing. The sample included 27% men who have sex with men, 28% injectors of illegal drugs, and 21% sex workers. Hierarchical regression analysis showed that sexual risk taking was predicted by low condom self-efficacy, high-risk behavior, and being female. Interestingly, those who engaged in the highest-risk behaviors were more likely to use condoms consistently during sex, although they carried condoms less. (PsycINFO Database Record (c) 2016 APA, all rights reserved)</t>
  </si>
  <si>
    <t>http://search.ebscohost.com.proxy-ub.rug.nl/login.aspx?direct=true&amp;db=psyh&amp;AN=2005-06075-008&amp;site=ehost-live&amp;scope=site</t>
  </si>
  <si>
    <t>Predictors of Hostility in a Group of Relocated Refugees.</t>
  </si>
  <si>
    <t>Westermeyer, Joseph; Uecker, Jonathan</t>
  </si>
  <si>
    <t>Cultural Diversity and Mental Health</t>
  </si>
  <si>
    <t>2004-13093-005</t>
  </si>
  <si>
    <t>10.1037/1099-9809.3.1.53</t>
  </si>
  <si>
    <t>John Wiley &amp; Sons, Inc.</t>
  </si>
  <si>
    <t>Demographic Characteristics; Hostility; Immigration; Psychosocial Factors; Refugees; Human Sex Differences; Measurement; Religion; Adolescence (13-17 yrs); Adulthood (18 yrs &amp; older); Male; Female</t>
  </si>
  <si>
    <t>The objective of this research was to determine whether early post-migration demographic and psychosocial factors associated with cultural marginality would predict hostility 10-yrs after flight and relocation. In this longitudinal study, participants, who had spent 1-yr in a refugee camp, were studied at 1.5, 3.5, and 9 yrs post-relocation in the United States (i.e., Times 1, 2, and 3). Earlier data were compared with hostility at 9-yrs. The 102 Hmong participants in this study, originally from Laos, comprised the first group of Hmong refugees, aged 15-72 yrs old (M=31.0, SD=13.1), to be relocated from Thailand to Minnesota in 1976. Hmong research assistants collected these data using a questionnaire format at 1.5, 3.5, and 9 yrs postrelocation. Hostility was measured using the Hostility subscale of the 90-item Symptom Checklist (SCL-90). Female gender, animistic belief, absence of a leadership role, and high scores on the SCI-Hostility predicted higher SCL-Hostility scores. Increased hostility was associated with greater financial, marital, and mental-emotional problems. The study suggests that demographic factors associated with marginality and loss of control predict hostility in refugee immigrants. Losses and stressors from a decade earlier in Asia did not predict hostility. (PsycINFO Database Record (c) 2016 APA, all rights reserved)</t>
  </si>
  <si>
    <t>http://search.ebscohost.com.proxy-ub.rug.nl/login.aspx?direct=true&amp;db=psyh&amp;AN=2004-13093-005&amp;site=ehost-live&amp;scope=site</t>
  </si>
  <si>
    <t>Predictors of loneliness among Portuguese youths from returned migrant families.</t>
  </si>
  <si>
    <t>2015-06049-001</t>
  </si>
  <si>
    <t>10.1007/s11205-015-0895-8</t>
  </si>
  <si>
    <t>Acculturation; Adolescent Development; Life Satisfaction; Loneliness; Family; Human Migration; Adolescence (13-17 yrs); Adulthood (18 yrs &amp; older); Young Adulthood (18-29 yrs); Male; Female</t>
  </si>
  <si>
    <t>This investigation approaches the levels and the predictors of loneliness among migrant youths from returned migrant families from France to Portugal. Three research questions guided the study: (1) Does loneliness of migrant youths differ from those who have never migrated? (2) Are migrant youths’ re-acculturation factors related to their loneliness? (3) Is the adaptation of migrant youths linked to their loneliness? The answer to these questions is important to improve migrant youths’ re-acculturation experiences and their adaptation. The sample included 222 youths from returned migrant families from France. Participants completed the brief Portuguese version of the Revised UCLA Loneliness Scale (ULS-6), in addition to measures of re-acculturation and adaptation. A control group comprised of 211 Portuguese adolescents who have never migrated was also involved in the investigation. Youths from returned migrant families showed lower levels of loneliness than their native Portuguese counterparts who have never migrated. Demographic, re-acculturation, and adaptation factors were significantly related to adolescents’ loneliness. Major predictors of loneliness were age at return, contacts with peers without migratory experience, perceived discrimination, stressful adaptation experience, and satisfaction with life. (PsycINFO Database Record (c) 2016 APA, all rights reserved)</t>
  </si>
  <si>
    <t>http://search.ebscohost.com.proxy-ub.rug.nl/login.aspx?direct=true&amp;db=psyh&amp;AN=2015-06049-001&amp;site=ehost-live&amp;scope=site</t>
  </si>
  <si>
    <t>Predictors of positive mental health among refugees: Results from Canada’s General Social Survey.</t>
  </si>
  <si>
    <t>Beiser, Morton; Hou, Feng</t>
  </si>
  <si>
    <t>2017-56096-007</t>
  </si>
  <si>
    <t>10.1177/1363461517724985</t>
  </si>
  <si>
    <t>Human Sex Differences; Immigration; Mental Health; Race and Ethnic Discrimination; Refugees; Acculturation; Positive and Negative Symptoms; Childhood (birth-12 yrs); School Age (6-12 yrs); Adolescence (13-17 yrs); Adulthood (18 yrs &amp; older); Young Adulthood (18-29 yrs); Thirties (30-39 yrs); Middle Age (40-64 yrs); Male; Female</t>
  </si>
  <si>
    <t>Do refugees have lower levels of positive mental health than other migrants? If so, to what extent is this attributable to post-migration experiences, including discrimination? How does gender affect the relationships between post-migration experience and positive mental health? To address these questions, the current study uses data from Statistics Canada’s 2013 General Social Survey (GSS), a nationally representative household study that included 27,695 Canadians 15 years of age and older. The study compares self-reported positive mental health among 651 refugees, 309 economic immigrants, and 448 family class immigrants from 50 source countries. Immigration-related predictors of mental health were examined including sociodemographic characteristics, discrimination, acculturation variables, and experiences of reception. Separate analyses were carried out for women and men. Refugees had lower levels of positive mental health than other migrants. Affiliative feelings towards the source country jeopardized refugee, but not immigrant mental health. A sense of belonging to Canada was a significant predictor of mental health. Perceived discrimination explained refugee mental health disadvantage among men, but not women. Bridging social networks were a mental health asset, particularly for women. The implications of anti-refugee discrimination net of the effects of anti-immigrant and anti-visible minority antipathies are discussed, as well as possible reasons for gender differences in the salience of mental health predictors. (PsycINFO Database Record (c) 2018 APA, all rights reserved)</t>
  </si>
  <si>
    <t>http://search.ebscohost.com.proxy-ub.rug.nl/login.aspx?direct=true&amp;db=psyh&amp;AN=2017-56096-007&amp;site=ehost-live&amp;scope=site</t>
  </si>
  <si>
    <t>Predictors of sociocultural adjustment among sojourning Malaysian students in Britain.</t>
  </si>
  <si>
    <t>Swami, Viren</t>
  </si>
  <si>
    <t>2009-11700-004</t>
  </si>
  <si>
    <t>10.1080/00207590801888745</t>
  </si>
  <si>
    <t>Human Migration; Social Adjustment; Sociocultural Factors; Students; Cross Cultural Psychology; Adulthood (18 yrs &amp; older); Male; Female</t>
  </si>
  <si>
    <t>The process of cross-cultural migration may be particularly difficult for students traveling overseas for further or higher education, especially where qualitative differences exist between the home and host nations. The present study examined the sociocultural adjustment of sojourning Malaysian students in Britain. Eighty-one Malay and 110 Chinese students enrolled in various courses answered a self-report questionnaire that examined various aspects of sociocultural adjustment. A series of one-way analyses of variance showed that Malay participants experienced poorer sociocultural adjustment in comparison with their Chinese counterparts. They were also less likely than Chinese students to have contact with co-nationals and host nationals, more likely to perceive their actual experience in Britain as worse than they had expected, and more likely to perceive greater cultural distance and greater discrimination. The results of regression analyses showed that, for Malay participants, perceived discrimination accounted for the greatest proportion of variance in sociocultural adjustment (73%), followed by English language proficiency (10%) and contact with host nationals (4%). For Chinese participants, English language proficiency was the strongest predictor of sociocultural adjustment (54%), followed by expectations of life in Britain (18%) and contact with host nationals (3%). By contrast, participants' sex, age, and length of residence failed to emerge as significant predictors for either ethnic group. Possible explanations for this pattern of findings are discussed, including the effects of Islamophobia on Malay-Muslims in Britain, possible socioeconomic differences between Malay and Chinese students, and personality differences between the two ethnic groups. The results are further discussed in relation to practical steps that can be taken to improve the sociocultural adjustment of sojourning students in Britain. (PsycINFO Database Record (c) 2016 APA, all rights reserved)</t>
  </si>
  <si>
    <t>http://search.ebscohost.com.proxy-ub.rug.nl/login.aspx?direct=true&amp;db=psyh&amp;AN=2009-11700-004&amp;site=ehost-live&amp;scope=site</t>
  </si>
  <si>
    <t>Predictors of Soviet Jewish refugees' acculturation: Differentiation of self and acculturative stress.</t>
  </si>
  <si>
    <t>Roytburd, Luba; Friedlander, Myrna L.</t>
  </si>
  <si>
    <t>2008-00467-008</t>
  </si>
  <si>
    <t>10.1037/1099-9809.14.1.67</t>
  </si>
  <si>
    <t>Acculturation; Ethnic Identity; Psychological Stress; Refugees; Self-Concept; Jews; Race and Ethnic Discrimination; Adulthood (18 yrs &amp; older); Male; Female</t>
  </si>
  <si>
    <t>The authors investigated the acculturation of 108 Jewish young adults who had immigrated to the United States between the ages of 9 and 21 from the former Soviet Union as a function of differentiation of self (M. Bowen, 1978) and acculturative stress. One aspect of differentiation, the ability to take an 'I-position' with others, uniquely predicted greater American acculturation and less Russian acculturation, indicating that participants who reported an ability to act on their own needs in the context of social pressure tended to be more assimilated. Russian acculturation was also uniquely associated with more frequent perceived discrimination (one aspect of acculturative stress) during adolescence. Participants who had spent a greater proportion of their lifetime in the United States were more American acculturated and less Russian acculturated, reflecting assimilation rather than biculturalism. (PsycINFO Database Record (c) 2016 APA, all rights reserved)</t>
  </si>
  <si>
    <t>http://search.ebscohost.com.proxy-ub.rug.nl/login.aspx?direct=true&amp;db=psyh&amp;AN=2008-00467-008&amp;site=ehost-live&amp;scope=site</t>
  </si>
  <si>
    <t>Predictors of subjective psychological well-being following migration.</t>
  </si>
  <si>
    <t>Mikula, Malgorzata</t>
  </si>
  <si>
    <t>2020-04056-028</t>
  </si>
  <si>
    <t>Adaptation; Immigration; Marital Status; Social Support; Well Being; Education; Mental Health; Religiosity</t>
  </si>
  <si>
    <t>The past few decades have seen a dramatic increase in global migration rates that has inspired a growing body of literature examining various aspects of immigrants' mental and physical health after resettlement. Although the vast majority of the immigration-focused psychological research has centered primarily on migration-related challenges and negative outcomes, in recent years interest has turned to understanding the factors that contribute to positive immigrant well-being. While social support provided in face-to-face contexts has been identified as a particularly salient predictor of positive psychological functioning, little attention has been directed toward exploring the influence of online social support and unsupportive online social interactions on immigrants' mental health. The original purpose of the present study was to address this gap in the literature by examining, via an online survey, how various aspects of the social support immigrants receive through their online social networks (OSNs) affect their psychological well-being. However, due to an inadequate number of responses obtained for the subset of survey questions related to immigrants' received online social support, the study's focus shifted to investigating predictive factors of immigrants' subjective psychological well-being following resettlement in the destination country. A second goal was to evaluate the relative importance of perceived online social support versus perceived offline (face-to-face) social support in predicting immigrants' subjective well-being. Thus, the present research examined the effects of six selected sociodemographic factors (age, gender, race, marital status, education, and religiosity), past and current life stressors (traumatic events experienced before and after coming to Canada, stressful events experienced in the past 12 months), psychological resources (cultural adaptation, sense of mastery), as well as online and offline perceived social support on immigrants' subjective psychological well-being. The outcome variables included measures of positive (life satisfaction, flourishing) and negative (loneliness, immigrant distress, existential isolation, and perceived stress) aspects of immigrants' psychological functioning. A series of hierarchical multiple regression analyses was conducted on a final sample of 120 immigrants of varying backgrounds residing in Montreal, Canada. Results indicated that marital status (being married), education (having completed less than a university degree), greater cultural adaptation, a higher sense of mastery, and greater perceived offline social support all predicted higher levels of positive psychological functioning. Negative mental health outcomes were associated with marital status (being single), race (identifying as Non-Caucasian), having experienced a traumatic event before coming to Canada, poorer cultural adaptation, lower levels of self-mastery, and lower perceived online social support. Age, gender, religiosity, traumatic events experienced after coming to Canada, and stressful events experienced in the past year were not found to be significant predictors of subjective psychological well-being in this sample. Moreover, perceived offline social support predicted higher positive psychological functioning, while greater perceived online social support was associated only with lower levels of existential isolation. Implications of the current findings and suggestions for future research are discussed. (PsycINFO Database Record (c) 2020 APA, all rights reserved)</t>
  </si>
  <si>
    <t>http://search.ebscohost.com.proxy-ub.rug.nl/login.aspx?direct=true&amp;db=psyh&amp;AN=2020-04056-028&amp;site=ehost-live&amp;scope=site</t>
  </si>
  <si>
    <t>Predictors of subjective well-being among immigrant Mexican women residing in the United States.</t>
  </si>
  <si>
    <t>Diaz, Carmenluz</t>
  </si>
  <si>
    <t>2011-99220-294</t>
  </si>
  <si>
    <t>Acculturation; Human Females; Immigration; Subjectivity; Well Being; Optimism; Female</t>
  </si>
  <si>
    <t>The purpose of this study was to investigate whether Subjective Well-Being was predicted by dispositional optimism, acculturation, and depression levels among immigrant Mexican women residing in the United States. The Satisfaction With Life Scale (Diener, Emmons, Larsen, &amp; Griffin, 1985), Life Orientation Test Revised (Scheier, Carver, &amp; Bridges, 1994), Short Acculturation Scale for Hispanics (Marin, Sabogal, Marin, Otero-Sabogal, &amp; Perez-Stable, 1987), and Center for Epidemiologic Studies Depression Scale (Radloff, 1977), all available in English and Spanish, were administered to 38 participants. The results of the study partially support the study hypotheses. The findings indicated that dispositional optimism was a significant and positive predictor of satisfaction with life in this sample of immigrant Mexican women residing in the U.S, and negatively associated with depression. However, acculturation in this small sample only approached significance. The results and implications of the study are discussed. (PsycINFO Database Record (c) 2016 APA, all rights reserved)</t>
  </si>
  <si>
    <t>http://search.ebscohost.com.proxy-ub.rug.nl/login.aspx?direct=true&amp;db=psyh&amp;AN=2011-99220-294&amp;site=ehost-live&amp;scope=site</t>
  </si>
  <si>
    <t>Prejudice among Peruvians and Chileans as a function of identity, intergroup contact, acculturation preferences, and intergroup emotions.</t>
  </si>
  <si>
    <t>González, Roberto; Sirlopú, David; Kessler, Thomas</t>
  </si>
  <si>
    <t>2011-00887-010</t>
  </si>
  <si>
    <t>10.1111/j.1540-4560.2010.01676.x</t>
  </si>
  <si>
    <t>Acculturation; Immigration; Intergroup Dynamics; Prejudice; Emotions; Adulthood (18 yrs &amp; older); Male; Female</t>
  </si>
  <si>
    <t>A special Latin American acculturative context is currently developing in Chile in which native Chileans have contact with several immigrant groups, particularly newcomers from Peru. This study examines several intergroup variables including contact, national and Latino American identities, group distinctiveness, realistic threat, intergroup anxiety, and acculturation preferences as predictors of prejudice on the part of both Chilean natives and Peruvian immigrants. Three hundred Peruvian immigrants (194 females and 106 males) and 300 Chileans (199 females and 101 males) participated in the study. Acculturation preferences, perceived group distinctiveness, and especially intergroup contact were shown to be important predictors of prejudice toward out‐group members. Intergroup anxiety and realistic threat mediated some of these effects. The pattern of these results also varied as a function of nationality. Theoretical as well as practical implications for further research are discussed. (PsycINFO Database Record (c) 2016 APA, all rights reserved)</t>
  </si>
  <si>
    <t>http://search.ebscohost.com.proxy-ub.rug.nl/login.aspx?direct=true&amp;db=psyh&amp;AN=2011-00887-010&amp;site=ehost-live&amp;scope=site</t>
  </si>
  <si>
    <t>Pre-migration acculturation attitudes among potential ethnic migrants from Russia to Finland.</t>
  </si>
  <si>
    <t>Yijälä, Anu; Jasinskaja-Lahti, Inga</t>
  </si>
  <si>
    <t>2010-11881-001</t>
  </si>
  <si>
    <t>10.1016/j.ijintrel.2009.09.002</t>
  </si>
  <si>
    <t>Acculturation; Human Migration; Racial and Ethnic Attitudes; Adulthood (18 yrs &amp; older); Young Adulthood (18-29 yrs); Thirties (30-39 yrs); Middle Age (40-64 yrs); Aged (65 yrs &amp; older); Very Old (85 yrs &amp; older); Male; Female</t>
  </si>
  <si>
    <t>This study investigates factors predicting acculturation strategies among potential ethnic migrants prior to their migration. 325 potential migrants from Russia to Finland were surveyed at the pre-migration stage. Factors studied included perceived acculturation expectations of the members of the receiving society, values, cultural identities, general well-being, self-efficacy, cultural knowledge, social networks in the new home country, language proficiency, perceived cultural similarity, support for multicultural ideology and perceived discrimination in the country of origin. In line with the hypotheses, the respondents preferred integration over assimilation, separation and marginalisation strategies. Discriminant analysis was computed to distinguish integrationists, assimilationists and separationists, resulting in two functions that discriminated between the groups. The most important predictors explaining pre-migration acculturation attitudes were the perceptions potential migrants have of future hosts’ preferences for immigrants’ cultural maintenance and contacts with hosts. In addition, general well-being, Russian identity and support for multicultural ideology significantly predicted acculturation attitudes in the pre-migration stage. The study highlights the importance of acknowledging that acculturation begins already at the pre-migration stage. It contributes to our understanding of pre-acculturation in general and factors affecting the formation of pre-migration acculturation attitudes in particular. (PsycINFO Database Record (c) 2016 APA, all rights reserved)</t>
  </si>
  <si>
    <t>http://search.ebscohost.com.proxy-ub.rug.nl/login.aspx?direct=true&amp;db=psyh&amp;AN=2010-11881-001&amp;site=ehost-live&amp;scope=site</t>
  </si>
  <si>
    <t>Pre-migration and post-migration factors associated with mental health in humanitarian migrants in Australia and the moderation effect of post-migration stressors: Findings from the first wave data of the BNLA cohort study.</t>
  </si>
  <si>
    <t>Chen, Wen; Hall, Brian J.; Ling, Li; Renzaho, Andre M. N.</t>
  </si>
  <si>
    <t>The Lancet Psychiatry</t>
  </si>
  <si>
    <t>2017-05260-001</t>
  </si>
  <si>
    <t>10.1016/S2215-0366(17)30032-9</t>
  </si>
  <si>
    <t>Health Care Services; Mental Health; Psychosocial Factors; Posttraumatic Growth; Adulthood (18 yrs &amp; older); Male; Female</t>
  </si>
  <si>
    <t>Background: The process of becoming a humanitarian migrant is potentially damaging to mental health. We examined the association between pre-migration and post-migration potentially traumatic events and stressors and mental health, and assessed the moderating effect of post-migration stressors in humanitarian migrants in Australia. Methods: In this study, we used the first wave of data between 2013 and 2014 from the Building a New Life in Australia survey. The survey included 2399 migrants who had arrived in Australia holding a permanent humanitarian visa 3–6 months preceding the survey, with 77% and 23% of participants being granted visas through offshore and onshore humanitarian programmes, respectively. Post-traumatic stress disorder (PTSD) was measured with the Post-traumatic Stress Disorder 8 items (PTSD-8) and severe mental illness was measured with the Kessler Screening Scale for Psychological Distress (K6). Pre-migration potentially traumatic events and post-migration stressors related to asylum process and resettlement were measured with a self-reported questionnaire. Findings: Of the 2399 participants, 762 (31%; 95% CI 29·4–33·2) had PTSD and 394 (16%; 95% CI 14·2–17·2) had severe mental illness. The mean number of pre-migration potentially traumatic events was 2·1 (SD 1·4). 64%, 59%, 49%, and 18% of participants reported poor social integration, economic problems, worrying about family or friends overseas, and loneliness as post-migration stressors. Pre-migration potentially traumatic events and post-migration stressors were positively associated with PTSD and severe mental illness. Factors significantly modifying the association between pre-migration potentially traumatic events and mental health after controlling for confounding factors were resettlement related stressors, including loneliness (odds ratio 1·17, 95% CI 1·05–1·28 for PTSD and 1·28, 1·16–1·41 for severe mental illness) and the number of social integration stressors (1·10, 1·05–1·16 for PTSD). Interpretation: Our data suggest that post-migration resettlement-related stressors were the most important correlates of mental health in humanitarian migrants, accounting for both direct and indirect associations. Targeting resettlement-related stressors through augmenting psychosocial care programmes and social integration would be a key approach to improve humanitarian migrants' mental health. (PsycINFO Database Record (c) 2017 APA, all rights reserved)</t>
  </si>
  <si>
    <t>http://search.ebscohost.com.proxy-ub.rug.nl/login.aspx?direct=true&amp;db=psyh&amp;AN=2017-05260-001&amp;site=ehost-live&amp;scope=site</t>
  </si>
  <si>
    <t>Prescription opioid misuse among U.S. Hispanics.</t>
  </si>
  <si>
    <t>Cano, Manuel</t>
  </si>
  <si>
    <t>Addictive Behaviors</t>
  </si>
  <si>
    <t>2019-51810-001</t>
  </si>
  <si>
    <t>10.1016/j.addbeh.2019.06.010</t>
  </si>
  <si>
    <t>Drug Abuse; Life Span; Opiates; Prescription Drugs; Latinos/Latinas; Acculturation; Heroin Addiction; Risk Factors; Test Construction; Adulthood (18 yrs &amp; older); Young Adulthood (18-29 yrs); Thirties (30-39 yrs); Middle Age (40-64 yrs); Aged (65 yrs &amp; older); Male; Female</t>
  </si>
  <si>
    <t>Background: As a risk factor for addiction, heroin use, and overdose, the misuse of prescription opioids represents a critical public health challenge. While public attention has primarily centered on opioid misuse among White individuals, less attention has been devoted to opioid misuse among one of the United States' fastest-growing demographic groups: Hispanic immigrants and their descendants. This study therefore examined prescription opioid misuse among U.S. Hispanic adults, with attention to within-group differences and the role of acculturation-related characteristics. Methods: Data were derived from the 7037 U.S. Hispanic adults in the National Epidemiologic Survey on Alcohol and Related Conditions-III (2012−2013). Weighted proportions, adjusted odds ratios, and 95% confidence intervals were computed for past-year and lifetime prescription opioid misuse. Binomial logistic regression models examined the association between acculturation-related characteristics and prescription opioid misuse. Results: Past-year prevalence of prescription opioid misuse among U.S. Hispanic adults was lower in the first generation (1.6%), compared with the second (4.1%), third (6.8%), and higher-than-third (6.2%) generations, and a similar pattern was observed for lifetime prevalence. Higher generation, greater English language orientation, and length of time living in the United States were significantly associated with higher odds of past-year and lifetime prescription opioid misuse. Conclusions: Relying solely on comparisons of prevalence between ethnic groups may obscure significant variations within ethnic groups. Second, third, and higher generation Hispanics are higher-risk subgroups, with rates of prescription opioid misuse approaching or surpassing the rates reported among non-Hispanic Whites. (PsycInfo Database Record (c) 2020 APA, all rights reserved)</t>
  </si>
  <si>
    <t>http://search.ebscohost.com.proxy-ub.rug.nl/login.aspx?direct=true&amp;db=psyh&amp;AN=2019-51810-001&amp;site=ehost-live&amp;scope=site</t>
  </si>
  <si>
    <t>Prevalence and factors associated with PTSD, anxiety and depression symptoms in Haitian migrants in southern Brazil.</t>
  </si>
  <si>
    <t>Brunnet, Alice E.; Bolaséll, Laura T.; Weber, João L. A.; Kristensen, Christian H.</t>
  </si>
  <si>
    <t>2018-02518-003</t>
  </si>
  <si>
    <t>10.1177/0020764017737802</t>
  </si>
  <si>
    <t>Anxiety; Epidemiology; Immigration; Major Depression; Posttraumatic Stress Disorder; Adulthood (18 yrs &amp; older); Male; Female</t>
  </si>
  <si>
    <t>Background: Prevalence rates of mental health disorders in migrants are controversial. The socio-historical and economic background of the host country may play an important role in the mental health status of migrants. As studies are mostly conducted in developed countries, researching migration in developing countries may add important information to scientific literature. Aims: This study aims to investigate the prevalence and factors associated with posttraumatic stress disorder (PTSD), anxiety and depression symptoms in Haitian migrants in southern Brazil. Methods: The sample comprises 66 participants selected from four different sites in three cities of a Brazilian southern state. Participants fulfilled a sociodemographic questionnaire, as well as instruments investigate traumatic events; post-migration difficulties and symptoms of PTSD, anxiety and depression. Linear regression models were utilized to investigate factors associated with PTSD, anxiety and depression symptoms. Results: PTSD prevalence in the sample was 9.1%. Depression and anxiety symptoms were in the clinical range of 10.6%–13.6% of participants, respectively. A number of traumatic events, acculturation difficulties, discrimination and low social support were associated with the investigated mental health disorders. Conclusion: The results point to the importance of public policies in promoting better social and mental health support for migrants. Providing information to the Brazilian population about migration may improve receptiveness in the host society. (PsycINFO Database Record (c) 2018 APA, all rights reserved)</t>
  </si>
  <si>
    <t>http://search.ebscohost.com.proxy-ub.rug.nl/login.aspx?direct=true&amp;db=psyh&amp;AN=2018-02518-003&amp;site=ehost-live&amp;scope=site</t>
  </si>
  <si>
    <t>Prevalence and risk-factors for depression in elderly Turkish and Moroccan migrants in the Netherlands.</t>
  </si>
  <si>
    <t>van der Wurff, F. B.; Beekman, A. T. F.; Dijkshoorn, H.; Spijker, J. A.; Smits, C. H. M.; Stek, M. L.; Verhoeff, A.</t>
  </si>
  <si>
    <t>2004-22498-004</t>
  </si>
  <si>
    <t>10.1016/j.jad.2004.04.009</t>
  </si>
  <si>
    <t>Epidemiology; Human Migration; Major Depression; Racial and Ethnic Differences; Risk Factors; Racial and Ethnic Groups; Sociocultural Factors; Adulthood (18 yrs &amp; older); Middle Age (40-64 yrs); Aged (65 yrs &amp; older); Male; Female</t>
  </si>
  <si>
    <t>Background: Western societies host increasing number of elderly labour migrants from Turkey and Morocco. The article studied the prevalence of clinically significant depressive symptoms among elderly Turkish and Moroccan migrants compared with native Dutch elderly and if differences in prevalence rates were explained by known risk factors for depression and/or ethnic, migration-related factors. Methods: 330 Turkish, 299 Moroccan, and 304 Dutch elderly (55-74 years) were interviewed (cross-sectionally) using the Center for Epidemiologic Depression Scale (CES-D). Potential risk factors included sex, income level, marital status, ethnic origin, chronic physical illnesses, limitations in daily functioning, migration and acculturation questions. Results: The prevalence of self-reported depressive symptoms (CES-D &gt;16) was very high in elderly migrants, 33.6% for Moroccan and 61.5% for Turkish elderly. The prevalence of depressive symptoms in the native Dutch sample was similar to earlier studies in the Netherlands and abroad: 14.5%. Among migrants education and income level was very low and they had a high number of physical limitations and chronic medical illnesses. This only explained part of the ethnic differences found. In all three samples, depressive symptoms were associated with sex, chronic physical illness and physical limitations. In multivariate analysis, ethnic origin was uniquely associated with the presence of clinically significant depressive symptoms. Only a small number of remigration and acculturation items were associated with depressive symptoms in bivariate analysis. Conclusions: The prevalence of clinically significant depressive symptoms among elderly migrants from Turkey and Morocco in the Netherlands is very high. Ethnicity was a strong independent risk factor. (PsycINFO Database Record (c) 2016 APA, all rights reserved)</t>
  </si>
  <si>
    <t>http://search.ebscohost.com.proxy-ub.rug.nl/login.aspx?direct=true&amp;db=psyh&amp;AN=2004-22498-004&amp;site=ehost-live&amp;scope=site</t>
  </si>
  <si>
    <t>Prevalence estimates of health risk behaviors of immigrant Latino men who have sex with men.</t>
  </si>
  <si>
    <t>Rhodes, Scott D.; McCoy, Thomas P.; Hergenrather, Kenneth C.; Vissman, Aaron T.; Wolfson, Mark; Alonzo, Jorge; Bloom, Fred R.; Alegría‐Ortega, Jose; Eng, Eugenia</t>
  </si>
  <si>
    <t>The Journal of Rural Health</t>
  </si>
  <si>
    <t>2012-00177-010</t>
  </si>
  <si>
    <t>10.1111/j.1748-0361.2011.00373.x</t>
  </si>
  <si>
    <t>Drug Abuse; Health Behavior; Immigration; Sexual Risk Taking; Same Sex Intercourse; Alcohol Abuse; Epidemiology; Human Males; Tobacco Smoking; Latinos/Latinas; Health Risk Behavior; Adulthood (18 yrs &amp; older); Young Adulthood (18-29 yrs); Thirties (30-39 yrs); Middle Age (40-64 yrs); Male</t>
  </si>
  <si>
    <t>Purpose: Little is known about the health status of rural immigrant Latino men who have sex with men (MSM). These MSM comprise a subpopulation that tends to remain 'hidden' from both researchers and practitioners. This study was designed to estimate the prevalence of tobacco, alcohol, and drug use, and sexual risk behaviors of Latino MSM living in rural North Carolina. Methods: A community-based participatory research (CBPR) partnership used respondent-driven sampling (RDS) to identify, recruit, and enroll Latino MSM to participate in an interviewer-administered behavioral assessment. RDS-weighted prevalence of risk behaviors was estimated using the RDS Analysis Tool. Data collection occurred in 2008. Results: A total of 190 Latino MSM was reached; the average age was 25.5 years and nearly 80% reported being from Mexico. Prevalence estimates of smoking everyday and past 30-day heavy episodic drinking were 6.5% and 35.0%, respectively. Prevalence estimates of past 12-month marijuana and cocaine use were 56.0% and 27.1%, respectively. Past 3-month prevalence estimates of sex with at least one woman, multiple male partners, and inconsistent condom use were 21.2%, 88.9%, and 54.1%, respectively. Conclusions: Respondents had low rates of tobacco use and club drug use, and high rates of sexual risk behaviors. Although this study represents an initial step in documenting the health risk behaviors of immigrant Latino MSM who are part of a new trend in Latino immigration to the southeastern United States, a need exists for further research, including longitudinal studies to understand the trajectory of risk behavior among immigrant Latino MSM. (PsycInfo Database Record (c) 2020 APA, all rights reserved)</t>
  </si>
  <si>
    <t>http://search.ebscohost.com.proxy-ub.rug.nl/login.aspx?direct=true&amp;db=psyh&amp;AN=2012-00177-010&amp;site=ehost-live&amp;scope=site</t>
  </si>
  <si>
    <t>Prevalence of physical symptoms and their association with race/ethnicity and acculturation in the United States.</t>
  </si>
  <si>
    <t>Bauer, Amy M.; Chen, Chih-Nan; Alegría, Margarita</t>
  </si>
  <si>
    <t>General Hospital Psychiatry</t>
  </si>
  <si>
    <t>2012-08375-001</t>
  </si>
  <si>
    <t>10.1016/j.genhosppsych.2012.02.007</t>
  </si>
  <si>
    <t>Epidemiology; Physical Disorders; Symptoms; Acculturation; Asians; Ethnic Identity; Race (Anthropological); Whites; Latinos/Latinas; Adulthood (18 yrs &amp; older); Young Adulthood (18-29 yrs); Thirties (30-39 yrs); Middle Age (40-64 yrs); Aged (65 yrs &amp; older); Male; Female</t>
  </si>
  <si>
    <t>Objective: Physical symptoms are common and a leading reason for primary care visits; however, data are lacking on their prevalence among racial/ethnic minorities in the United States. This study aimed to compare the prevalence of physical symptoms among White, Latino and Asian Americans, and examine the association of symptoms and acculturation. Methods: We analyzed data from the National Latino and Asian American Study, a nationally representative survey of 4864 White, Latino and Asian American adults. We compared the age- and gender-adjusted prevalence of 14 physical symptoms among the racial/ethnic groups and estimated the association between indicators of acculturation (English proficiency, nativity, generational status and proportion of lifetime in the United States) and symptoms among Latino and Asian Americans. Results: After adjusting for age and gender, the mean number of symptoms was similar for Whites (1.00) and Latinos (0.95) but significantly lower among Asian Americans (0.60, P &lt; .01 versus Whites). Similar percentages of Whites (15.4%) and Latinos (13.0%) reported three or more symptoms, whereas significantly fewer Asian Americans (7.7%, P &lt; .05 versus Whites) did. In models adjusted for sociodemographic variables and clinical status (psychological distress, medical conditions and disability), acculturation was significantly associated with physical symptoms among both Latino and Asian Americans, such that the most acculturated individuals had the most physical symptoms. Conclusions: The prevalence of physical symptoms differs across racial/ethnic groups, with Asian Americans reporting fewer symptoms than Whites. Consistent with a 'healthy immigrant' effect, increased acculturation was strongly associated with greater symptom burden among both Latino and Asian Americans. (PsycINFO Database Record (c) 2018 APA, all rights reserved)</t>
  </si>
  <si>
    <t>http://search.ebscohost.com.proxy-ub.rug.nl/login.aspx?direct=true&amp;db=psyh&amp;AN=2012-08375-001&amp;site=ehost-live&amp;scope=site</t>
  </si>
  <si>
    <t>Prevalence of postpartum depressive symptoms in a multiethnic population and the role of ethnicity and integration.</t>
  </si>
  <si>
    <t>Shakeel, Nilam; Sletner, Line; Falk, Ragnhild Sørum; Slinning, Kari; Martinsen, Egil W.; Jenum, Anne Karen; Eberhard-Gran, Malin</t>
  </si>
  <si>
    <t>2018-46262-009</t>
  </si>
  <si>
    <t>10.1016/j.jad.2018.07.056</t>
  </si>
  <si>
    <t>Epidemiology; Ethnic Identity; Postpartum Depression; Racial and Ethnic Groups; Racial and Ethnic Differences; Perinatal Period; Risk Factors; Adulthood (18 yrs &amp; older); Female</t>
  </si>
  <si>
    <t>Background: Postpartum depression (PPD) may have adverse effects on both mother and child. The aims were to determine the prevalence of postpartum depressive symptoms, PPDS, identify associations with ethnicity and with the level of social integration. Method: Population-based, prospective cohort study of 643 pregnant women (58% ethnic minorities) attending primary antenatal care in Oslo. Questionnaires regarding demographics and health issues were collected through interviews. PPDS was defined as a sum score ≥ 10 by the Edinburgh Postnatal Depression Scale, used as the main outcome in logistic regression analyses, first with ethnicity, second with level of integration as main explanatory factors. Results: The prevalence of PPDS was higher in ethnic minorities 12.7% (95% CI: 9.31–16.09) than in Western Europeans 4.8% (2.26–7.34). Adverse life events, lack of social support and depressive symptoms during the index pregnancy were other significant risk factors. Western European with PPDS were more likely to have had depressive symptoms also during pregnancy than women from ethnic minorities (72.2% versus 33.3%, p = 0.041). When replacing ethnicity with integration, a low level of integration was independently associated with PPDS (2.1 (1.11–3.95)). Limitations: Cases with PPDS were limited. Heterogeneity in the ethnic groups is a concern. Conclusion: Both point prevalence and new onset of PPDS was higher among ethnic minorities than among Western Europeans. Low level of integration was associated with PPDS. Our findings suggest that clinicians should be aware of the increased risk of new cases of PPDS among ethnic minorities compared to Western European women and offer evidence-based care accordingly. (PsycINFO Database Record (c) 2018 APA, all rights reserved)</t>
  </si>
  <si>
    <t>http://search.ebscohost.com.proxy-ub.rug.nl/login.aspx?direct=true&amp;db=psyh&amp;AN=2018-46262-009&amp;site=ehost-live&amp;scope=site</t>
  </si>
  <si>
    <t>Preventive health care practices of former Soviet Union immigrant women in Germany and the United States.</t>
  </si>
  <si>
    <t>Ivanov, L. Louise; Hu, Jie; Pokhis, Karina; Roth, Wolfgang</t>
  </si>
  <si>
    <t>Home Health Care Management &amp; Practice</t>
  </si>
  <si>
    <t>2011-01452-006</t>
  </si>
  <si>
    <t>10.1177/1084822310370945</t>
  </si>
  <si>
    <t>Health Care Services; Immigration; Mammography; Prevention; Self-Examination (Medical); Human Females; Preventive Health Services; Adulthood (18 yrs &amp; older); Young Adulthood (18-29 yrs); Thirties (30-39 yrs); Middle Age (40-64 yrs); Female</t>
  </si>
  <si>
    <t>Objectives: To examine the use of preventive health care practices of mammography, Pap smear, and breast self-exam in immigrant women from the former Soviet Union in Germany and the United States. Design: A descriptive cross-sectional exploratory study was used to examine the preventive health care practices of immigrant women in Germany and the United States. Sample: A convenience sample of 15 German immigrant women from the former Soviet Union were solicited from the Salztal Klinik in Germany and matched by age with 24 U.S. immigrant women from the former Soviet Union solicited from a community center for immigrants. Measurements: Data were collected using a demographic survey and the Language, Identity, and Behavior Acculturation Measure. Results: Significant differences were found between the German and U.S. immigrant groups in use of mammography (χ² = 8.069, df = 1, p &lt; .005) and Pap smear (χ² = 7.245, df = 1, p &lt; .008). Conclusion: The low use of mammography and Pap smear among German immigrant women may be related to differences in health care systems, age, and health beliefs. Further study is needed to determine the affects of age and health beliefs related to health promotion and disease prevention to better understand how to intervene and improve the health of immigrant women from the former Soviet Union. (PsycInfo Database Record (c) 2020 APA, all rights reserved)</t>
  </si>
  <si>
    <t>http://search.ebscohost.com.proxy-ub.rug.nl/login.aspx?direct=true&amp;db=psyh&amp;AN=2011-01452-006&amp;site=ehost-live&amp;scope=site</t>
  </si>
  <si>
    <t>Problem drinking among Mexican-Americans: The influence of nativity and neighborhood content?</t>
  </si>
  <si>
    <t>Markides, Kyriakos S.; Snih, Soham Al; Walsh, Tasanee; Cutchin, Malcolm; Ju, Hyunsu; Goodwin, James S.</t>
  </si>
  <si>
    <t>American Journal of Health Promotion</t>
  </si>
  <si>
    <t>2012-06638-007</t>
  </si>
  <si>
    <t>10.4278/ajhp.100510-QUAN-146</t>
  </si>
  <si>
    <t>Alcohol Abuse; Indigenous Populations; Neighborhoods; Mexican Americans; Adulthood (18 yrs &amp; older); Young Adulthood (18-29 yrs); Thirties (30-39 yrs); Middle Age (40-64 yrs); Aged (65 yrs &amp; older); Very Old (85 yrs &amp; older); Male; Female</t>
  </si>
  <si>
    <t>Purpose: We examined the influence of nativity and community context (Hispanic neighborhood concentration) on two measures of problem drinking among Mexican-Americans. Design: Cross-sectional study. Setting: Texas City Stress and Health Study conducted in Texas City, Texas during 2004–2006. Participants: A total of 1435 Mexican-Americans aged 25 years and older. Measures: Binge drinking (≥6 drinks per occasion by men and ≥4 drinks per occasion by women) and scoring positive on the CAGE (a four-item clinical measure of problem drinking) as dependent variables. Key independent variables included a measure of language acculturation, proportion of Hispanics in the participant's neighborhood according to 2000 U.S. Census data, and being foreign-born compared with being U.S.-born. Analysis: Logistic regression analysis was used to predict being a binge drinker and being positive on the CAGE. Results: Foreign-born women were less likely to be binge drinkers than U.S.-born women. Nativity was not significant among men. Moreover women were less likely to be binge drinkers if they lived in heavily Hispanic neighborhoods. No such effect was found among men. Similar results were obtained with the CAGE. Conclusions: We found a powerful influence of nativity (being U.S.-born compared with foreign born) and neighborhood Hispanic concentration on problem drinking among women but not among men. It is likely that cultural norms in heavily Hispanic environments discourage problem drinking among women but not among men. (PsycINFO Database Record (c) 2016 APA, all rights reserved)</t>
  </si>
  <si>
    <t>http://search.ebscohost.com.proxy-ub.rug.nl/login.aspx?direct=true&amp;db=psyh&amp;AN=2012-06638-007&amp;site=ehost-live&amp;scope=site</t>
  </si>
  <si>
    <t>Problem drinking by race and nativity: What is learned from social structural and mental health‐related data of US‐born and immigrant respondents?</t>
  </si>
  <si>
    <t>Lo, Celia C.; Howell, Rebecca J.; Cheng, Tyrone C.</t>
  </si>
  <si>
    <t>Suppl 1</t>
  </si>
  <si>
    <t>S77</t>
  </si>
  <si>
    <t>2015-42249-012</t>
  </si>
  <si>
    <t>10.1111/j.1521-0391.2012.00292.x</t>
  </si>
  <si>
    <t>Alcohol Abuse; Mental Health; Racial and Ethnic Attitudes; Social Structure; Adulthood (18 yrs &amp; older); Male; Female</t>
  </si>
  <si>
    <t>Background and Objectives: Although heavy drinking is considered a health risk, research demonstrates that some adults turn to alcohol in an effort to manage disabling stress or mental health problems. Race and nativity may be associated with such decisions to 'self‐medicate' with alcohol. This study identified and compared links between problem drinking and social structural and mental health‐related factors for four race‐nativity groups. Methods: Using data from the 2009 National Health Interview Survey, the final sample comprised 7,905 US‐born Whites, 390 foreign‐born Whites, 2,110 US‐born Blacks, and 193 foreign‐born Blacks. Investigated were the social structural variables of demographic factors (age, gender), socioeconomic status (employment, income, education), and social integration factors (family size, living with a partner). Mental health‐related variables included chronic mental illness and access to and use of mental health services. Results: Overall, both types of variables were found to be associated with large‐quantity drinking and frequent binging, with the strength of association varying—for some factors—by race and/or nativity. Further, the findings indicated that, in the presence of chronic mental illness, both US‐ and foreign‐born Black Americans engaged in relatively frequent binge‐drinking when health‐care variables were controlled. Conclusions and Scientific Significance: These results underscore the need for mental health professionals to identify co‐occurring mental illness and alcohol abuse among Black clients and, where it is found, to seek the root causes of the persistent stress that tends to accompany this co‐occurrence. (PsycINFO Database Record (c) 2016 APA, all rights reserved)</t>
  </si>
  <si>
    <t>http://search.ebscohost.com.proxy-ub.rug.nl/login.aspx?direct=true&amp;db=psyh&amp;AN=2015-42249-012&amp;site=ehost-live&amp;scope=site</t>
  </si>
  <si>
    <t>Productive vocabulary among three groups of bilingual American children: Comparison and prediction.</t>
  </si>
  <si>
    <t>Cote, Linda R.; Bornstein, Marc H.</t>
  </si>
  <si>
    <t>First Language</t>
  </si>
  <si>
    <t>2014-54039-001</t>
  </si>
  <si>
    <t>10.1177/0142723714560178</t>
  </si>
  <si>
    <t>Bilingualism; Childhood Development; Language Development; Prediction; Linguistics; Vocabulary; Latinos/Latinas; Childhood (birth-12 yrs); Infancy (2-23 mo); Adulthood (18 yrs &amp; older); Male; Female</t>
  </si>
  <si>
    <t>The importance of input factors for bilingual children’s vocabulary development was investigated. Forty-seven Argentine, 42 South Korean, 51 European American, 29 Latino immigrant, 26 Japanese immigrant, and 35 Korean immigrant mothers completed checklists of their 20-month-old children’s productive vocabularies. Bilingual children’s vocabulary sizes in each language separately were consistently smaller than their monolingual peers but only Latino bilingual children had smaller total vocabularies than monolingual children. Bilingual children’s vocabulary sizes were similar to each other. Maternal acculturation predicted the amount of input in each language, which then predicted children’s vocabulary size in each language. Maternal acculturation also predicted children’s English-language vocabulary size directly. (PsycINFO Database Record (c) 2016 APA, all rights reserved)</t>
  </si>
  <si>
    <t>http://search.ebscohost.com.proxy-ub.rug.nl/login.aspx?direct=true&amp;db=psyh&amp;AN=2014-54039-001&amp;site=ehost-live&amp;scope=site</t>
  </si>
  <si>
    <t>Profiles of acculturative adjustment patterns among Chinese international students.</t>
  </si>
  <si>
    <t>Wang, Kenneth T.; Heppner, Puncky Paul; Fu, Chu-Chun; Zhao, Ran; Li, Feihan; Chuang, Chih-Chun</t>
  </si>
  <si>
    <t>2012-14108-001</t>
  </si>
  <si>
    <t>10.1037/a0028532</t>
  </si>
  <si>
    <t>Acculturation; Adjustment; Chinese Cultural Groups; Coping Behavior; International Students; Cross Cultural Differences; Distress; Social Support; Mixture Modeling; Adulthood (18 yrs &amp; older); Male; Female</t>
  </si>
  <si>
    <t>This is the first study to empirically identify distinct acculturative adjustment patterns of new international students over their first 3 semesters in the United States. The sample consisted of 507 Chinese international students studying in the United States. Using psychological distress as an indicator of acculturative adjustment, measured over 4 time points (prearrival, first semester, second semester, and third semester), 4 distinct groups of student adjustment trajectories emerged: (a) a group exhibiting high levels of psychological distress across each time point (consistently distressed; 10%), (b) a group with decreasing psychological distress scores from Time 1 to Time 2 (relieved; 14%), (c), those with a sharp peak in psychological distress at Time 2 and Time 3 (culture-shocked; 11%), and (d) a group with relatively consistent low psychological distress scores (well-adjusted; 65%). Moreover, significant predictors of a better acculturative adjustment pattern included having higher self-esteem, positive problem-solving appraisal, and lower maladaptive perfectionism prior to the acculturation process. In addition, during the first semester of studying in the United States, having a balanced array of social support and using acceptance, reframing, and striving as coping strategies were associated with a better cross-cultural transition. Practical implications and future directions were also discussed. (PsycINFO Database Record (c) 2019 APA, all rights reserved)</t>
  </si>
  <si>
    <t>http://search.ebscohost.com.proxy-ub.rug.nl/login.aspx?direct=true&amp;db=psyh&amp;AN=2012-14108-001&amp;site=ehost-live&amp;scope=site</t>
  </si>
  <si>
    <t>Project-induced displacement, secondary stressors, and health.</t>
  </si>
  <si>
    <t>Cao, Yue; Hwang, Sean-Shong; Xi, Juan</t>
  </si>
  <si>
    <t>2012-06719-023</t>
  </si>
  <si>
    <t>10.1016/j.socscimed.2011.12.034</t>
  </si>
  <si>
    <t>Health; Stress; Major Depression; Social Integration; Socioeconomic Status</t>
  </si>
  <si>
    <t>It has been estimated that about 15 million people are displaced by development projects around the world each year. Despite the magnitude of people affected, research on the health and other impacts of project-induced displacement is rare. This study extends existing knowledge by exploring the short-term health impact of a large scale population displacement resulting from China’s Three Gorges Dam Project. The study is theoretically guided by the stress process model, but we supplement it with Cernea’s Impoverishment Risks and Reconstruction (IRR) model widely used in displacement literature. Our panel analysis indicates that the displacement is associated positively with relocatees’ depression level, and negatively with their self-rated health measured against a control group. In addition, a path analysis suggests that displacement also affects depression and self-rated health indirectly by changing social integration, socioeconomic status, and community resources. The importance of social integration as a protective mechanism, a factor that has been overlooked in past studies of population displacement, is highlighted in this study. (PsycINFO Database Record (c) 2016 APA, all rights reserved)</t>
  </si>
  <si>
    <t>http://search.ebscohost.com.proxy-ub.rug.nl/login.aspx?direct=true&amp;db=psyh&amp;AN=2012-06719-023&amp;site=ehost-live&amp;scope=site</t>
  </si>
  <si>
    <t>Cao, Yue</t>
  </si>
  <si>
    <t>2010-99230-135</t>
  </si>
  <si>
    <t>Health; Immigration; Socioeconomic Status; Stress</t>
  </si>
  <si>
    <t>It is estimated that 15 million migrants displaced by development projects every year in the world. However, research on health impacts of project-induced displacement is insufficient. The existing literature concerning the causal effect of migration on health is inconclusive due to the selective nature of migration and other methodological problems. This study employs the stress process model as the major theoretical framework, components from Cernea’s IRR model as well as Scudder and Colson’s framework are also incorporated to examine the short-term health impact of the displacement resulting from China’s Three Gorges Dam Project. I also explore whether the displacement’s effect on health is mediated by three secondary stressors, i.e., deterioration in social integration, SES, and community resources. To address the methodological problems typical in migration studies, we use the natural experiment design to collect pre- and post-migration data from both migrants and non-migrants (the control group). The pre-migration survey interviewed 775 designated migrants and 555 non-migrants in 2003. We successfully traced 1070 subjects in post-migration survey conducted in 2006. Using the difference model and the structural equation modeling procedures as analytical strategies, we found that the displacement heightened migrants’ depression, and worsened their self-rated health. The displacement was also responsible for deterioration in social integration, socio-economic status, and community material resources. The observed effects of the displacement on migrants’ health were mainly mediated by undesirable changes in social integration and income. This study suggests that social integration, a factor which has been overlooked in past studies, is at least as important as economic factors in affecting the health of the displaced. It also demonstrates the utility of the stress process model for studying mental and physical health of project-induced migrants in an Eastern culture setting. (PsycINFO Database Record (c) 2016 APA, all rights reserved)</t>
  </si>
  <si>
    <t>http://search.ebscohost.com.proxy-ub.rug.nl/login.aspx?direct=true&amp;db=psyh&amp;AN=2010-99230-135&amp;site=ehost-live&amp;scope=site</t>
  </si>
  <si>
    <t>Prospective associations between bilingualism and executive function in Latino children: Sustained effects while controlling for biculturalism.</t>
  </si>
  <si>
    <t>Riggs, Nathaniel R.; Shin, Hee-Sung; Unger, Jennifer B.; Spruijt-Metz, Donna; Pentz, Mary Ann</t>
  </si>
  <si>
    <t>2014-37149-017</t>
  </si>
  <si>
    <t>10.1007/s10903-013-9838-0</t>
  </si>
  <si>
    <t>Bilingualism; Childhood Development; Short Term Memory; Executive Function; Emotional Control; Multiculturalism; Latinos/Latinas; Childhood (birth-12 yrs); School Age (6-12 yrs); Male; Female</t>
  </si>
  <si>
    <t>The study purpose was to test 1-year prospective associations between English–Spanish bilingualism and executive function in 5th to 6th grade students while controlling for biculturalism. Participants included 182 US Latino students (50 % female). Self-report surveys assessed biculturalism, bilingualism, and executive function (i.e., working memory, organizational skills, inhibitory control, and emotional control, as well as a summary executive function score). General linear model regressions demonstrated that bilingualism significantly predicted the summary executive function score as well as working memory such that bilingual proficiency was positively related to executive function. Results are the first to demonstrate (a) prospective associations between bilingualism to executive function while controlling for the potential third variable of biculturalism, and (b) a principal role for working memory in this relationship. Since executive function is associated with a host of health outcomes, one implication of study findings is that bilingualism may have an indirect protective influence on youth development. (PsycINFO Database Record (c) 2016 APA, all rights reserved)</t>
  </si>
  <si>
    <t>http://search.ebscohost.com.proxy-ub.rug.nl/login.aspx?direct=true&amp;db=psyh&amp;AN=2014-37149-017&amp;site=ehost-live&amp;scope=site</t>
  </si>
  <si>
    <t>Protective psychosocial resources in the lives of Latina migrant farmworkers.</t>
  </si>
  <si>
    <t>Dueweke, Aubrey R.; Hurtado, Gabriela; Hovey, Joseph D.</t>
  </si>
  <si>
    <t>Journal of Rural Mental Health</t>
  </si>
  <si>
    <t>2016-04918-003</t>
  </si>
  <si>
    <t>10.1037/rmh0000038</t>
  </si>
  <si>
    <t>Migrant Farm Workers; Protective Factors; Psychosocial Factors; Stress; Latinos/Latinas; Coping Behavior; Hopelessness; Human Females; Major Depression; Suicidal Ideation; Adulthood (18 yrs &amp; older); Young Adulthood (18-29 yrs); Thirties (30-39 yrs); Middle Age (40-64 yrs); Female</t>
  </si>
  <si>
    <t>Previous research has found that female migrant farmworkers (MFWs) report greater levels of depression and anxiety than male MFWs. The main objective of this study was to identify some of the most salient reserve capacity resources (i.e., psychosocial factors that can protect against and mitigate the effects of stressors) available to Latina MFWs. Secondarily, we aimed to examine the relationships between the presence of these resources and depression, hopelessness, and suicidal ideation. Participants underwent an intensive semistructured interview and completed the Center for Epidemiologic Studies-Depression Scale (CES-D) and the Beck Hopelessness Scale (BHS). Content analyses of interviews revealed 10 psychosocial reserve capacity resources: religion/God as a source of emotional support, satisfaction with social support, feeling supported by romantic partner, having somebody to confide in, having friends in the United States, showing hope toward the future, having an end goal (e.g., saving for a house in Mexico), feeling a sense of control over her life, showing pride in the fact that she is able to support her family through farm work, and showing endurance. The aggregate protective influence of the available psychosocial resources was negatively associated with depression (r = −.35), hopelessness (r = −.28), and suicidal ideation (r = −.29); however, none of these associations were statistically significant. Although stress is inherent to the MFW lifestyle, we found many protective psychosocial resources available to help mitigate stress. Latina MFWs can be highly resilient in the face of exposure to structural conditions that keep them in poverty and are detrimental to their mental health. (PsycINFO Database Record (c) 2016 APA, all rights reserved)</t>
  </si>
  <si>
    <t>http://search.ebscohost.com.proxy-ub.rug.nl/login.aspx?direct=true&amp;db=psyh&amp;AN=2016-04918-003&amp;site=ehost-live&amp;scope=site</t>
  </si>
  <si>
    <t>Psychological adaptation of adolescent immigrants from the former Soviet Union in Germany: Acculturation versus age-related time trends.</t>
  </si>
  <si>
    <t>Michel, Andrea; Titzmann, Peter F.; Silbereisen, Rainer K.</t>
  </si>
  <si>
    <t>2011-29857-008</t>
  </si>
  <si>
    <t>10.1177/0022022111416662</t>
  </si>
  <si>
    <t>Acculturation; Adolescent Development; Age Differences; Immigration; Time; Trends; Childhood (birth-12 yrs); School Age (6-12 yrs); Adolescence (13-17 yrs); Male; Female</t>
  </si>
  <si>
    <t>Stress-and-coping frameworks predict increasing psychological adaptation of immigrants over time, but although previous studies found evidence for this assumption in adult samples, this temporal pattern was hardly found among adolescent immigrants. The authors argue that in adolescent immigrants an acculturation-related increase in psychological adaptation over time might be counterbalanced by an age-typical decrease in indicators of psychological adaptation. This longitudinal study, covering a 3-year period in mid-adolescence, compared change in depressed mood as an indicator of psychological adaptation in three matched samples of 101 newcomer adolescent immigrants, 101 more experienced adolescent immigrants, and 101 native adolescents. Results showed that native adolescents and experienced adolescent immigrants increased in depressed mood, as is typical for this age group, over the 3-year period. Newcomer adolescent immigrants, however, remained stable, reporting more depressed mood initially than the more experienced immigrants. Moreover, the extent of depressed mood reported by newcomer and more experienced adolescent immigrants converged over time. This pattern of results indicates that both age-typical development and acculturation need to be considered when drawing conclusions on change in psychological adaptation over time in immigrant populations. (PsycINFO Database Record (c) 2016 APA, all rights reserved)</t>
  </si>
  <si>
    <t>http://search.ebscohost.com.proxy-ub.rug.nl/login.aspx?direct=true&amp;db=psyh&amp;AN=2011-29857-008&amp;site=ehost-live&amp;scope=site</t>
  </si>
  <si>
    <t>Psychological adaptation of Moroccan and Ecuadorean immigrant adolescents in Spain.</t>
  </si>
  <si>
    <t>Briones, Elena; Verkuyten, Maykel; Cosano, Juan; Tabernero, Carmen</t>
  </si>
  <si>
    <t>2011-30094-002</t>
  </si>
  <si>
    <t>10.1080/00207594.2011.569722</t>
  </si>
  <si>
    <t>Acculturation; Adolescent Development; Immigration; Society; Psychology; Adolescence (13-17 yrs); Male; Female</t>
  </si>
  <si>
    <t>In adapting to the host society, immigrant adolescents may have problems negotiating the challenges of acculturation. The factors that promote and those that hamper psychological adaptation may not play the same role in all ethnic groups. Our study focuses on psychological adaptation of two main immigrant groups in Spain that differ in cultural distance to the host society and level of societal acceptance: adolescents of Moroccan and Ecuadorean origin. Our findings show, first, that mainstream cultural orientation is positively related to psychological adaptation, whereas perceived ethnic discrimination is negatively associated with adaptation. Second, the relationship between ethnic cultural orientation and psychological adaptation and between length of residence in Spain and adaptation is stronger for the Moroccan youth than for their Ecuadorean peers. Theoretical and practical implications of these results are discussed. (PsycINFO Database Record (c) 2016 APA, all rights reserved)</t>
  </si>
  <si>
    <t>http://search.ebscohost.com.proxy-ub.rug.nl/login.aspx?direct=true&amp;db=psyh&amp;AN=2011-30094-002&amp;site=ehost-live&amp;scope=site</t>
  </si>
  <si>
    <t>Psychological and Sociocultural Adaptation of Immigrant Youth.</t>
  </si>
  <si>
    <t>Sam, David L.; Vedder, Paul; Ward, Colleen; Horenczyk, Gabriel</t>
  </si>
  <si>
    <t>Immigrant youth in cultural transition: Acculturation, identity, and adaptation across national contexts.</t>
  </si>
  <si>
    <t>2006-05033-005</t>
  </si>
  <si>
    <t>10.4324/9780415963619-5</t>
  </si>
  <si>
    <t>Lawrence Erlbaum Associates Publishers</t>
  </si>
  <si>
    <t>Adaptation; Immigration; Sociocultural Factors; Adolescence (13-17 yrs); Adulthood (18 yrs &amp; older); Young Adulthood (18-29 yrs); Male; Female</t>
  </si>
  <si>
    <t>The previous chapters focus on country-level and contextual variables (chap. 2), methodological considerations (chap. 3), and intercultural variables (chap. 4) of the International Comparative Study of Ethnocultural Youth (ICSEY) project. This chapter examines the psychological and sociocultural adaptation of ethnocultural youth with the following broad question in mind: 'How well adapted are youth with an immigrant background in their society of settlement?' Specifically, we consider how well immigrant youth are doing with respect to psychological well-being (positive self-esteem and lower levels of mental health problems such as anxiety, depression, and psychosomatic symptoms), and how satisfied they are with their lives. The chapter also looks at the extent of their adjustment in school and their behavioral problems (i.e., antisocial behavior). With respect to adaptation, we also briefly explore the immigrant paradox phenomenon. This chapter has three main parts. The first discusses the conceptual and empirical background to our broad questions, and the instruments used to measure the constructs. This part is not intended to be an exhaustive literature review on psychological and sociocultural adaptation; interested readers are directed to other sources, such as Ward (2001). The second part of the chapter presents a comparative overview of adaptation patterns across the different countries. Here, we compare the adaptation of immigrant youth in the different societies of settlement. In addition, we examine the relationship between the various adaptation outcomes and the factor structure of adaptation. We explore how the various adaptation outcomes are related to each other and how these relate to the four acculturation profiles previously identified in chapter 4. (Further exploration of the relationships between how youth engage in their intercultural relations and how well they adapt will be covered in chapter 6). The third part of the chapter discusses the findings in relation to the literature reviewed at the beginning of the chapter. See record [rid]2006-05033-000[/rid] for details of the ICSEY project. (PsycInfo Database Record (c) 2020 APA, all rights reserved)</t>
  </si>
  <si>
    <t>http://search.ebscohost.com.proxy-ub.rug.nl/login.aspx?direct=true&amp;db=psyh&amp;AN=2006-05033-005&amp;site=ehost-live&amp;scope=site</t>
  </si>
  <si>
    <t>Psychological and sociocultural adaptation: Acculturation, depressive symptoms, and life satisfaction among older Iranian immigrants in Canada.</t>
  </si>
  <si>
    <t>Moztarzadeh, Amir; O'Rourke, Norm</t>
  </si>
  <si>
    <t>Clinical Gerontologist: The Journal of Aging and Mental Health</t>
  </si>
  <si>
    <t>2015-09597-002</t>
  </si>
  <si>
    <t>10.1080/07317115.2014.990601</t>
  </si>
  <si>
    <t>Acculturation; Immigration; Life Satisfaction; Mental Health; Psychological Theories; Adjustment; Major Depression; Psychosocial Factors; Sociocultural Factors; Adulthood (18 yrs &amp; older); Middle Age (40-64 yrs); Aged (65 yrs &amp; older); Male; Female</t>
  </si>
  <si>
    <t>Informed by Ward’s (1996) theory of psychological and sociocultural adaptation, this study identified links between acculturation and the mental health of older Iranian immigrants living in Canada (N = 103). According to Ward and colleagues, both psychological and sociocultural adaptation change at different rates and extend into later life. For this study, participants 50+ years of age and born in Iran completed questionnaires measuring life satisfaction, depressive symptoms, acculturation, and demographic and sociocultural variables (e.g., pre- and post-immigration occupational status). We collected study data anonymously in Persian to obtain responses from long-term residents of Canada as well as more recent immigrants who may not read or write English. We examined both life satisfaction and (the absence of) depressive symptoms as distinct forms of psychological adaptation; these emerged as independent predictors of acculturation. Contrary to theory, acculturation appears to predict life satisfaction, not vice versa; moreover, there seems to be no direct link between depressive symptoms and acculturation. Our findings suggest that integration within Canadian society is associated with higher life satisfaction. In contrast, sociocultural factors are indirectly associated with life satisfaction (except age) and acculturation (except ethnic diversity of social interactions). Involuntary migrants reported higher levels of depression, whereas loss of occupational status is associated with reduced life satisfaction. Implications for future research and health policy are discussed. (PsycINFO Database Record (c) 2017 APA, all rights reserved)</t>
  </si>
  <si>
    <t>http://search.ebscohost.com.proxy-ub.rug.nl/login.aspx?direct=true&amp;db=psyh&amp;AN=2015-09597-002&amp;site=ehost-live&amp;scope=site</t>
  </si>
  <si>
    <t>Psychological Distress among Recent Russian Immigrants in the United States.</t>
  </si>
  <si>
    <t>Hoffmann, Christopher; McFarland, Bentson H.; Kinzie, J. David; Bresler, Larissa; Rakhlin, Dmitriy; Wolf, Solomon; Kovas, Anne E.</t>
  </si>
  <si>
    <t>2006-01435-003</t>
  </si>
  <si>
    <t>10.1177/0020764006061252</t>
  </si>
  <si>
    <t>Anxiety; Depression (Emotion); Immigration; Psychological Stress; Test Construction; Distress; Adulthood (18 yrs &amp; older); Young Adulthood (18-29 yrs); Thirties (30-39 yrs); Middle Age (40-64 yrs); Aged (65 yrs &amp; older); Male; Female</t>
  </si>
  <si>
    <t>Background: The purpose of this study was to examine the psychological status of Russian immigrants who have recently come to the United States. Aims: The project included creation of a Russian version of the Hopkins Symptom Checklist-25 (HSCL-25) in order to identify anxiety and depression in members of the Russian-speaking immigrant population. Methods: Translation and adaptation included (a) cross-cultural adaptation; (b) translation; (c) pre-testing; and (d) analysis of validity, reliability and internal consistency. Seventeen Russian-speaking patients at a Russian psychiatric clinic were recruited for the study and were compared with a sample of 42 Russian-speaking members of the community. Results: The instrument showed internal consistency when evaluated with coefficient alpha. Clinic patients had significantly higher anxiety and depression symptom scores than community subjects. Russian immigrants' scores on the anxiety and depression scales were less than comparative data for the United States and notably less than similar measures for Russian immigrants to Israel. Conclusions: Recent Russian immigrants to the United States appear to have low prevalences of anxiety and depression. (PsycINFO Database Record (c) 2016 APA, all rights reserved)</t>
  </si>
  <si>
    <t>http://search.ebscohost.com.proxy-ub.rug.nl/login.aspx?direct=true&amp;db=psyh&amp;AN=2006-01435-003&amp;site=ehost-live&amp;scope=site</t>
  </si>
  <si>
    <t>Psychological distress among Thai migrant workers in Israel.</t>
  </si>
  <si>
    <t>Griffin, Jennifer; Soskolne, Varda</t>
  </si>
  <si>
    <t>2003-99558-001</t>
  </si>
  <si>
    <t>10.1016/S0277-9536(02)00447-1</t>
  </si>
  <si>
    <t>Insecticides; Migrant Farm Workers; Occupational Exposure; Psychological Stress; Sociocultural Factors; Demographic Characteristics; Human Migration; Pesticides; Adulthood (18 yrs &amp; older); Young Adulthood (18-29 yrs); Thirties (30-39 yrs); Male</t>
  </si>
  <si>
    <t>The purpose of this cross-sectional study was to examine the associations between migration stressors and psychological distress among Thai migrant agricultural workers in Israel, and to examine the direct and indirect contribution of socio-cultural variables to this relationship. Two hundred and twenty-one Thai male workers were interviewed using a structured questionnaire that included demographic variables and occupational exposures to organophosphate pesticides, migration stressors, intervening variables, and a psychological distress scale. In multivariate analysis, migration stressors, the migrants' traditional health beliefs, quality of current social relationships, drinking behavior, as well as age and occupational exposure were significantly associated with psychological distress. A moderating effect of the quality of social relationships with coworkers on the association between homesickness and psychological distress was found. Additionally, migrants aged 28-34 and those who were experiencing eye irritation from chemicals at work had significantly increased levels of distress. The findings demonstrate the focal role of specific migration stressors and the current socio-cultural context on psychological distress of migrant workers. (PsycInfo Database Record (c) 2020 APA, all rights reserved)</t>
  </si>
  <si>
    <t>http://search.ebscohost.com.proxy-ub.rug.nl/login.aspx?direct=true&amp;db=psyh&amp;AN=2003-99558-001&amp;site=ehost-live&amp;scope=site</t>
  </si>
  <si>
    <t>Psychological distress and adjustment of Vietnamese refugees in the United States: Association with pre- and postmigration factors.</t>
  </si>
  <si>
    <t>Birman, Dina; Tran, Nellie</t>
  </si>
  <si>
    <t>2008-04724-013</t>
  </si>
  <si>
    <t>10.1037/0002-9432.78.1.109</t>
  </si>
  <si>
    <t>Acculturation; Human Migration; Prisoners; Refugees; Vietnamese Cultural Groups; Adjustment; Distress; Adulthood (18 yrs &amp; older); Young Adulthood (18-29 yrs); Thirties (30-39 yrs); Middle Age (40-64 yrs); Aged (65 yrs &amp; older); Male; Female</t>
  </si>
  <si>
    <t>The purpose of this study was to examine how pre- and postmigration factors affect the psychological distress and adjustment for a community sample of Vietnamese refugees resettled in the United States. The sample included a substantial proportion of ex-political detainees who experienced a particularly large number of traumatic events prior to migration. Additionally, the study assessed postmigration experiences using multidimensional and bidirectional measures of acculturation to the Vietnamese and American cultures and measures of satisfaction with social support from like-ethnic and host culture network members. Psychological adjustment and distress were assessed with depression, anxiety, alienation, and life satisfaction. Findings show that premigration traumatic experiences predicted only measures of anxiety. The other measures of adjustment and distress were predicted by postmigration factors, including acculturation and social support. In sum, findings suggest that different psychological outcomes are predicted by different pre- and postmigration factors, suggesting that adjustment is a complex process that involves multiple indicators and dimensions. Significant differences were also found between ex-political detainees and other Vietnamese refugees suggesting the importance of considering their unique experience. (PsycInfo Database Record (c) 2020 APA, all rights reserved)</t>
  </si>
  <si>
    <t>http://search.ebscohost.com.proxy-ub.rug.nl/login.aspx?direct=true&amp;db=psyh&amp;AN=2008-04724-013&amp;site=ehost-live&amp;scope=site</t>
  </si>
  <si>
    <t>Psychological distress and its demographic associations in an immigrant population: Findings from the Israeli National Health Survey.</t>
  </si>
  <si>
    <t>Ponizovsky, Alexander M.; Radomislensky, Ira; Grinshpoon, Alexander</t>
  </si>
  <si>
    <t>2009-03488-008</t>
  </si>
  <si>
    <t>10.1080/00048670802534317</t>
  </si>
  <si>
    <t>Demographic Characteristics; Immigration; Mental Disorders; Military Veterans; Psychological Stress; Distress; Adulthood (18 yrs &amp; older); Young Adulthood (18-29 yrs); Thirties (30-39 yrs); Middle Age (40-64 yrs); Aged (65 yrs &amp; older); Male; Female</t>
  </si>
  <si>
    <t>Objective: This study compared psychological distress and its sociodemographic correlates in immigrant and veteran Israeli populations using data from the Israel National Mental Health Survey, the first nationwide study designed to estimate the prevalence rates of psychological distress and mental disorders in the Israeli adult population, which was carried out in 2003-2004, in conjunction with the World Mental Health survey initiative. Method: Personal interviews were held with 3906 veteran Israelis, 845 immigrants from the former Soviet Union (FSU) and 107 immigrants from other countries (all the immigrants immigrated after 1989). Psychological distress was measured on the General Health Questionnaire-12. Results: Psychological distress among FSU immigrants was significantly higher than among veteran Israelis and immigrants from elsewhere. FSU immigrants were almost twice as likely to report severe psychological distress. Factors associated with psychological distress were female gender, age above 50, being divorced/widowed, being secular, having higher education and being either unemployed or 'not in workforce'. Conclusion: The results support the acculturation stress hypothesis as an explanation for psychological distress in immigrants only in immigrants from the FSU, indicating that policymakers should plan services and prevention programmes differentially for different immigrant populations. (PsycINFO Database Record (c) 2016 APA, all rights reserved)</t>
  </si>
  <si>
    <t>http://search.ebscohost.com.proxy-ub.rug.nl/login.aspx?direct=true&amp;db=psyh&amp;AN=2009-03488-008&amp;site=ehost-live&amp;scope=site</t>
  </si>
  <si>
    <t>Psychological homelessness and enculturative stress among US-deported Salvadorans: A preliminary study with a novel approach.</t>
  </si>
  <si>
    <t>Negy, Charles; Reig-Ferrer, Abilio; Gaborit, Mauricio; Ferguson, Christopher J.</t>
  </si>
  <si>
    <t>2014-46296-030</t>
  </si>
  <si>
    <t>10.1007/s10903-014-0006-y</t>
  </si>
  <si>
    <t>Immigration; Social Adjustment; Stress; Citizenship; Homeless; Adulthood (18 yrs &amp; older); Male; Female</t>
  </si>
  <si>
    <t>The purpose of this study was to examine the construct psychological homelessness—feelings of not belonging in one’s home country—within the context of deported Salvadorans’ enculturation to El Salvador. Participants (n = 66) who had been deported from the United States completed a set of questionnaires related to their deportation experience. Results indicated that deportees, in various degrees, experienced the phenomenon of psychological homelessness and enculturative stress related to living in El Salvador. As hypothesized, enculturative stress related to re-adapting to life in El Salvador significantly correlated with psychological homelessness after controlling for time spent in the United States, acculturation, and enculturation. Additional analyses revealed that maladaptive cognitions related to the deportation experience also predicted psychological homelessness. Our findings suggest psychological homelessness appears to be a valid construct and is experienced by many undocumented immigrants. (PsycINFO Database Record (c) 2016 APA, all rights reserved)</t>
  </si>
  <si>
    <t>http://search.ebscohost.com.proxy-ub.rug.nl/login.aspx?direct=true&amp;db=psyh&amp;AN=2014-46296-030&amp;site=ehost-live&amp;scope=site</t>
  </si>
  <si>
    <t>Psychometric characteristics of the Iranian Acculturation Scale.</t>
  </si>
  <si>
    <t>Shahim, Sima</t>
  </si>
  <si>
    <t>2007-15249-008</t>
  </si>
  <si>
    <t>10.2466/PR0.101.5.55-60</t>
  </si>
  <si>
    <t>Acculturation; Immigration; Psychometrics; Test Construction; Test Reliability; Test Validity; Adulthood (18 yrs &amp; older); Young Adulthood (18-29 yrs); Thirties (30-39 yrs); Middle Age (40-64 yrs); Male; Female</t>
  </si>
  <si>
    <t>The purpose of this study was to develop a reliable and valid scale to measure acculturation of Iranian immigrants in Canada. The 20-item Iranian Acculturation Scale showed Cronbach alpha of .83. Item-total correlations ranged from .25 to .65. Four factors were extracted, based on responses from 119 Iranian immigrants (43 men and 76 women) living in Toronto. The scale tapped different acculturation dimensions, cultural identity, language, family-related attitude and family-related values. The longer these Iranian immigrants had lived in Canada, and the earlier the age of moving to Canada the better acculturation suggested by their scores. (PsycINFO Database Record (c) 2016 APA, all rights reserved)</t>
  </si>
  <si>
    <t>http://search.ebscohost.com.proxy-ub.rug.nl/login.aspx?direct=true&amp;db=psyh&amp;AN=2007-15249-008&amp;site=ehost-live&amp;scope=site</t>
  </si>
  <si>
    <t>Psychometric properties of a Russian version of the SF-12 Health Survey in a refugee population.</t>
  </si>
  <si>
    <t>Comprehensive Psychiatry</t>
  </si>
  <si>
    <t>2005-12222-012</t>
  </si>
  <si>
    <t>10.1016/j.comppsych.2004.12.002</t>
  </si>
  <si>
    <t>Health; Mental Health; Psychometrics; Questionnaires; Refugees; Foreign Language Translation; Adulthood (18 yrs &amp; older); Young Adulthood (18-29 yrs); Thirties (30-39 yrs); Middle Age (40-64 yrs); Aged (65 yrs &amp; older); Male; Female</t>
  </si>
  <si>
    <t>This project examined psychometric properties of a Russian translation of the 12-item Short-Form health survey questionnaire (SF-12) to assess physical and mental health status in members of the Russian-speaking refugee population. Translation and adaptation included (a) cross-cultural adaptation; (b) translation; (c) pre-testing; and (d) analysis of validity, reliability, and internal consistency. Seventeen Russian-speaking patients at a Russian psychiatric clinic were recruited for the study and were compared to a sample of 42 Russian-speaking members of the community. The instrument showed internal consistency when evaluated with coefficient alpha. As compared with community subjects, clinic patients had significantly lower scores, reflecting poorer physical and mental well being. (PsycINFO Database Record (c) 2016 APA, all rights reserved)</t>
  </si>
  <si>
    <t>http://search.ebscohost.com.proxy-ub.rug.nl/login.aspx?direct=true&amp;db=psyh&amp;AN=2005-12222-012&amp;site=ehost-live&amp;scope=site</t>
  </si>
  <si>
    <t>Psychometric properties of multigroup ethnic identity measure (MEIM) scores with Australian adolescents from diverse ethnocultural groups.</t>
  </si>
  <si>
    <t>Dandy, Justine; Durkin, Kevin; McEvoy, Peter; Barber, Bonnie L.; Houghton, Stephen</t>
  </si>
  <si>
    <t>2008-06480-003</t>
  </si>
  <si>
    <t>10.1016/j.adolescence.2007.06.003</t>
  </si>
  <si>
    <t>Cross Cultural Differences; Ethnic Identity; Measurement; Psychometrics; Racial and Ethnic Groups; Factor Structure; Test Reliability; Test Scores; Childhood (birth-12 yrs); School Age (6-12 yrs); Adolescence (13-17 yrs); Male; Female</t>
  </si>
  <si>
    <t>The present study investigated the reliability and factor structure of scores on a 12-item version of Phinney's multigroup ethnic identity measure with an Australian sample from diverse cultural backgrounds. Participants were 485 students aged between 10 and 15 years. The results generally supported the reliability of the ethnic identity scale scores and suggested a two-factor structure of ethnic identity consisting of Affirmation/Belonging, and Exploration. Results concerning the other group orientation scale were mixed. Scores for this scale showed lower internal reliability and its inclusion in confirmatory factor analysis models with the ethnic identity scale showed only mediocre fit. Recommendations for future research include further investigations of the factor structure within ethnic identity as derived from social identity and developmental perspectives. (PsycINFO Database Record (c) 2017 APA, all rights reserved)</t>
  </si>
  <si>
    <t>http://search.ebscohost.com.proxy-ub.rug.nl/login.aspx?direct=true&amp;db=psyh&amp;AN=2008-06480-003&amp;site=ehost-live&amp;scope=site</t>
  </si>
  <si>
    <t>Psychometric properties of the Abbreviated Multidimensional Acculturation Scale and the Multigroup Ethnic Identity Measure with Japanese sojourners.</t>
  </si>
  <si>
    <t>Miyoshi, Makoto; Asner-Self, Kimberly; Yanyan, Sheng; Koran, Jennifer M.</t>
  </si>
  <si>
    <t>Assessment</t>
  </si>
  <si>
    <t>2016-60011-008</t>
  </si>
  <si>
    <t>10.1177/1073191115601208</t>
  </si>
  <si>
    <t>Cross Cultural Differences; Factor Structure; Psychometrics; Test Reliability; Test Validity; Ethnic Identity; Foreign Language Translation; Immigration; Adulthood (18 yrs &amp; older); Male; Female</t>
  </si>
  <si>
    <t>The current study examined psychometric properties of the Japanese version of Abbreviated Multidimensional Acculturation Scale (AMAS-ZABB-JP) and the 20-item Multigroup Ethnic Identity Measure (MEIM-JP) with 273 Japanese sojourners and immigrants to the United States. The theoretical six-factor structure for the AMAS-JP and two-factor structure for the MEIM-JP was consistent with the literature. The subscales of the AMAS and MEIM showed expected patterns of correlation with each other and with additional variables (i.e., number of years in the United States), providing evidence for construct validity. Cronbach’s alpha reflected high levels of reliability for both scales. Despite strong psychometric findings, there were translational and cultural-based findings that suggest the need for further research. (PsycINFO Database Record (c) 2016 APA, all rights reserved)</t>
  </si>
  <si>
    <t>http://search.ebscohost.com.proxy-ub.rug.nl/login.aspx?direct=true&amp;db=psyh&amp;AN=2016-60011-008&amp;site=ehost-live&amp;scope=site</t>
  </si>
  <si>
    <t>Psychosocial adjustment and substance use of Cambodian and Vietnamese immigrant youth.</t>
  </si>
  <si>
    <t>Lim, May; Stormshak, Elizabeth A.; Falkenstein, Corrina A.</t>
  </si>
  <si>
    <t>2010-25384-007</t>
  </si>
  <si>
    <t>10.1177/0022022110362747</t>
  </si>
  <si>
    <t>Coping Behavior; Drug Usage; Peer Relations; Psychosocial Development; Cross Cultural Psychology; Immigration; South Asian Cultural Groups; Childhood (birth-12 yrs); School Age (6-12 yrs); Adolescence (13-17 yrs); Adulthood (18 yrs &amp; older); Young Adulthood (18-29 yrs); Male; Female</t>
  </si>
  <si>
    <t>Southeast Asians living in the United States are a unique Asian immigrant population. They are considered one of the 'newer' Asian immigrant groups, tend to be less affluent compared with their East and South Asian counterparts, and are steadily growing in number. Unfortunately, few studies have been conducted specifically about Southeast Asian immigrants. The lack of studies, coupled with the community’s growing mental health issues, suggests the need for increased research on this population. This study contributes to the literature by examining the extent to which identification with Vietnamese or Cambodian culture, peer relationships, and coping behaviors affect substance use among Cambodian and Vietnamese immigrant youth. A sample of 102 participants, age 12 to 18 years, completed self-report measures regarding these variables. Results indicate that identification with one’s culture of origin and coping behaviors moderate the relationship between deviant peer association and substance use. Results are discussed within a contextual model of problem behavior among Southeast Asian youth. (PsycINFO Database Record (c) 2018 APA, all rights reserved)</t>
  </si>
  <si>
    <t>http://search.ebscohost.com.proxy-ub.rug.nl/login.aspx?direct=true&amp;db=psyh&amp;AN=2010-25384-007&amp;site=ehost-live&amp;scope=site</t>
  </si>
  <si>
    <t>Psychosocial and sociocultural factors influencing antenatal anxiety and depression in non-precarious migrant women.</t>
  </si>
  <si>
    <t>Sharapova, Anna; Goguikian Ratcliff, Betty</t>
  </si>
  <si>
    <t>2018-36572-001</t>
  </si>
  <si>
    <t>10.3389/fpsyg.2018.01200</t>
  </si>
  <si>
    <t>Acculturation; Human Migration; Pregnancy; Anxiety; Adulthood (18 yrs &amp; older); Young Adulthood (18-29 yrs); Thirties (30-39 yrs); Middle Age (40-64 yrs); Female</t>
  </si>
  <si>
    <t>The aims of this paper are (1) to assess the role of sociodemographic and psychosocial risk factors on antenatal anxiety (AA) and antenatal depression (AD) in first-generation migrant women in Geneva, as compared to a control group of native Swiss women, and (2) to examine the role of acculturation and other sociocultural factors in the development of antenatal distress in migrant women. A sample of 43 migrant and 41 Swiss pregnant women were recruited during the third trimester of pregnancy. AA was assessed by using the State Trait Anxiety Inventory, and AD by using the Edinburgh Postnatal Depression Scale. Acculturation was assessed as a bidimensional process comprising attachment to the heritage culture and adaptation to the local Swiss culture, using the Vancouver Index of Acculturation. AA in migrant women was mainly predicted by psychosocial factors, namely socioeconomic status, marital support, family presence in Geneva and parity, while AD was predicted by one dimension of acculturation, i.e., attachment to the heritage culture. Our study can inform perinatal health care professionals about some specific risk factors for antenatal distress in migrant women in order to increase systematic screening procedures. (PsycINFO Database Record (c) 2020 APA, all rights reserved)</t>
  </si>
  <si>
    <t>http://search.ebscohost.com.proxy-ub.rug.nl/login.aspx?direct=true&amp;db=psyh&amp;AN=2018-36572-001&amp;site=ehost-live&amp;scope=site</t>
  </si>
  <si>
    <t>Psychosocial mediators of the impact of acculturation on adolescent substance abuse.</t>
  </si>
  <si>
    <t>Saint-Jean, Gilbert; Martinez, Carlos A.; Crandall, Lee A.</t>
  </si>
  <si>
    <t>2008-05393-004</t>
  </si>
  <si>
    <t>10.1007/s10903-007-9060-z</t>
  </si>
  <si>
    <t>Acculturation; Drug Abuse; Epidemiology; Psychosocial Factors; Adolescent Development; Childhood (birth-12 yrs); School Age (6-12 yrs); Adolescence (13-17 yrs); Adulthood (18 yrs &amp; older); Young Adulthood (18-29 yrs); Male; Female</t>
  </si>
  <si>
    <t>To identify and evaluate socio-psychological factors that are associated with differences in substance abuse prevalence between non-acculturated and acculturated Florida youth, we employed t-test and logistic regression to analyze self-reported data from 63,000 middle and high school student participants in the 2004 Florida Youth Substance Abuse Survey. Questionnaire items covered socio-demographics, tobacco, alcohol, and illicit substance use; and perceptions and attitudes toward drug use. The outcome variables were past 30 day use of 'any illicit drug.' The key independent variable was language used at home (English/Another language). The covariates were 32 socio-psychological factors that are considered risk and protective factors for adolescent drug abuse. Findings support the growing body of evidence suggesting that acculturation status is a strong predictor of substance use among adolescents. This effect may be mediated principally through the family and peer/individual psychosocial domains. The findings may have important implications for the design and implementation of drug prevention programs targeting teenagers. (PsycINFO Database Record (c) 2016 APA, all rights reserved)</t>
  </si>
  <si>
    <t>http://search.ebscohost.com.proxy-ub.rug.nl/login.aspx?direct=true&amp;db=psyh&amp;AN=2008-05393-004&amp;site=ehost-live&amp;scope=site</t>
  </si>
  <si>
    <t>Psychotic symptoms and general health in a socially disadvantaged migrant community in Bologna.</t>
  </si>
  <si>
    <t>Tarricone, Ilaria; Atti, Anna Rita; Salvatori, Federica; Braca, Mauro; Ferrari, Silvia; Malmusi, Davide; Berardi, Domenico</t>
  </si>
  <si>
    <t>2009-07063-003</t>
  </si>
  <si>
    <t>10.1177/0020764008093445</t>
  </si>
  <si>
    <t>Disadvantaged; Epidemiology; Health; Immigration; Psychosis; Demographic Characteristics; Distress; Poverty; Adulthood (18 yrs &amp; older); Male; Female</t>
  </si>
  <si>
    <t>Background and aims: Social exclusion and reduced access to community health services can lead to urgent health problems among immigrants; this may explain their increasing rate of admittance to psychiatric inpatient units. This cross-sectional study aims to evaluate the prevalence of psychotic symptoms among Romanian immigrants living in very poor conditions at an abandoned hotel in Bologna and to highlight the possible correlation with general health status, distress and sociodemographic characteristics. Methods: The Psychosis Screening Questionnaire (PSQ) and General Health Questionnaire-12 (GHQ-12) were administered to all immigrants residing at the hotel during two index days with the help of a cultural mediator. Socio-demographic, migration and health characteristics were also collected. Results: Sixty eight subjects were evaluated. More than 80% had left Romania for economic reasons. Of immigrants, 57% exceeded the four-point GHQ-12 threshold of potential mental disorder and 19% scored positively at the PSQ. Immigrants with positive PSQ showed higher mean GHQ-12 scores (5.9 ± 3.5 vs. 3.8 ± 2.75; p = 0.02). The development of post-migration health problems significantly predicts positive PSQ cases even after adjusting for age, sex and GHQ-12 dichotomized score (OR = 21.2, CI = 1.1–169.4). Conclusion: This community of immigrants living in deprived conditions showed a high prevalence of distress and psychotic symptoms, related to health problems. Preventing excess of psychosis among immigrants and ethnic minorities in critical socio-economic conditions should mean, first and foremost, facilitating social integration and access to primary care. (PsycINFO Database Record (c) 2016 APA, all rights reserved)</t>
  </si>
  <si>
    <t>http://search.ebscohost.com.proxy-ub.rug.nl/login.aspx?direct=true&amp;db=psyh&amp;AN=2009-07063-003&amp;site=ehost-live&amp;scope=site</t>
  </si>
  <si>
    <t>PTSD in Vietnamese Americans following Hurricane Katrina: Prevalence, patterns, and predictors.</t>
  </si>
  <si>
    <t>Norris, Fran H.; VanLandingham, Mark J.; Vu, Lung</t>
  </si>
  <si>
    <t>Journal of Traumatic Stress</t>
  </si>
  <si>
    <t>2009-05712-002</t>
  </si>
  <si>
    <t>10.1002/jts.20389</t>
  </si>
  <si>
    <t>Epidemiology; Natural Disasters; Posttraumatic Stress Disorder; Risk Factors; Immigration; Vietnamese Cultural Groups; Adulthood (18 yrs &amp; older); Young Adulthood (18-29 yrs); Thirties (30-39 yrs); Middle Age (40-64 yrs); Male; Female</t>
  </si>
  <si>
    <t>One year after Hurricane Katrina devastated New Orleans, we assessed 82 adults from a population-based sample of the Vietnamese American community who had participated in a larger study of immigration weeks before the disaster. Although 21% met criteria for partial posttraumatic stress disorder (PTSD), only 5% of the sample met all PTSD criteria. Avoidance/numbing symptoms did not form a coherent cluster and were seldom confirmed, but intrusion, arousal, and interference were common. Severity of exposure to the floodwaters, property loss, and subjective trauma were independently related to PTSD symptoms. Symptoms were highest among participants who were low in acculturation or who had high Katrina exposure in combination with prolonged stays in transition camps during emigration. (PsycINFO Database Record (c) 2016 APA, all rights reserved)</t>
  </si>
  <si>
    <t>http://search.ebscohost.com.proxy-ub.rug.nl/login.aspx?direct=true&amp;db=psyh&amp;AN=2009-05712-002&amp;site=ehost-live&amp;scope=site</t>
  </si>
  <si>
    <t>Puerto Rican–born women in the United States: Contextual approach to immigration challenges.</t>
  </si>
  <si>
    <t>Bekteshi, Venera; van Hook, Mary; Matthew, Lenore</t>
  </si>
  <si>
    <t>Health &amp; Social Work</t>
  </si>
  <si>
    <t>2015-49245-006</t>
  </si>
  <si>
    <t>10.1093/hsw/hlv070</t>
  </si>
  <si>
    <t>Acculturation; Distress; Immigration; Stress; Human Females; Latinos/Latinas; Adulthood (18 yrs &amp; older); Female</t>
  </si>
  <si>
    <t>This study focused on how acculturative stress and psychological distress affect Puerto Rican–born women residing in the United States. Mediation path analysis was used to estimate relationships between contextual factors, acculturative stress, and psychological distress. The fit of the data to the final model was adequate as estimated using chi-square analysis, comparative fit index, Tucker–Lewis Index, and root-mean-square error of approximation. Racial discrimination (b = 0.38, p = .01), difficulties visiting family abroad (b = 0.26, p = .03), and age at immigration (b = 0.19, p = .03) were positively associated with acculturative stress. The factor English skills (b = –0.31, p = .02) was negatively associated with acculturative stress. Racial discrimination had the strongest effect on acculturative stress, followed by English skills, difficulties visiting family abroad, and age at immigration. Racial discrimination (b = 0.39, p = .01) and financial constraints (b = 0.30, p = .01) were positively associated with psychological distress. Racial discrimination affected the women’s psychological distress the most, followed by economic contexts (financial constraints). This study informs practitioners in considering the significant contextual factors relevant to the psychological distress of Puerto Rican–born women. (PsycINFO Database Record (c) 2016 APA, all rights reserved)</t>
  </si>
  <si>
    <t>http://search.ebscohost.com.proxy-ub.rug.nl/login.aspx?direct=true&amp;db=psyh&amp;AN=2015-49245-006&amp;site=ehost-live&amp;scope=site</t>
  </si>
  <si>
    <t>Purchasing patterns of migrant groups: The impact of acculturation on ethnocentric behaviors.</t>
  </si>
  <si>
    <t>Newman, Andrew J.; Sahak, Siti Z.</t>
  </si>
  <si>
    <t>2012-18096-001</t>
  </si>
  <si>
    <t>10.1111/j.1559-1816.2012.00895.x</t>
  </si>
  <si>
    <t>Acculturation; Consumer Behavior; Ethnocentrism; Human Migration; Social Psychology; Adulthood (18 yrs &amp; older); Young Adulthood (18-29 yrs); Thirties (30-39 yrs); Middle Age (40-64 yrs); Male; Female</t>
  </si>
  <si>
    <t>This study investigated the social psychology of Malaysian migrants and their ethnocentric purchase behavior as they assimilate into the local culture. A theoretical framework consisting of acculturation, consumer ethnocentrism, time, and demographics was assembled; and an exploratory study was undertaken involving 255 samples of Malaysian consumers residing in the UK. The findings suggest that levels of consumer ethnocentrism are inversely related to their length of residence in the host country. Hence, respondents who reside longest exhibit less ethnocentric behavior. Contrary to our prediction, no significant relationship exists between assimilation and consumer ethnocentrism. Of significance, however, highly assimilated individuals are likely to be young male and single persons, with low assimilation most likely found in middle-aged to older married females. (PsycINFO Database Record (c) 2017 APA, all rights reserved)</t>
  </si>
  <si>
    <t>http://search.ebscohost.com.proxy-ub.rug.nl/login.aspx?direct=true&amp;db=psyh&amp;AN=2012-18096-001&amp;site=ehost-live&amp;scope=site</t>
  </si>
  <si>
    <t>Purpose development, acculturation, and identity among South Sudanese unaccompanied refugee minors: A multimethod analysis of longitudinal adjustment outcomes.</t>
  </si>
  <si>
    <t>Yoon, Junghee</t>
  </si>
  <si>
    <t>2019-00352-258</t>
  </si>
  <si>
    <t>Acculturation; Identity Formation; Prosocial Behavior; Refugees</t>
  </si>
  <si>
    <t>This dissertation includes a qualitative analysis of individual interviews with 19 South Sudanese unaccompanied refugee minors (URMs) and a subsequent quantitative analysis based on 30 survey responses in an effort to understand how South Sudanese URMs have adjusted to their new country, the United States. Each of these studies concerns their sense of purpose, acculturation experiences, and identity development in relation to their educational and occupational achievements, as well as their psychological wellbeing over time. For the qualitative analysis, the participants were interviewed during two different phases of the study. The first set of in-depth individual interviews was conducted in 2007 (Phase 1) with 19 South Sudanese URMs who had resettled in the United States in 2001. From 2014--2015 (Phase 2), 11 of the 19 participants from Phase 1 were interviewed again. Using a modified grounded theory approach, these two sets of qualitative data were analyzed in terms of the participants' purpose development, multidimensional acculturation, identity reformation and integration, educational and occupational achievements, and overall life satisfaction. There are three theoretical frameworks that guide the current research project: a) Damon's purpose-development theory, b) Ferguson's tridimensional acculturation theory, and c) Portes and Zhou's segmented assimilation theory. Based on these three existing theories and their measurements, this study attempts to describe South Sudanese URMs' identified goals, life purposes, major achievements (especially in terms of education and occupation), changes and modifications to their goals, resettlement challenges, social barriers, and how these factors have influenced their long-term adjustment in the U.S. This study's findings reveal the prevalence of an other-oriented/beyond-the-self (BTS) purpose among the South Sudanese URMs that helped them to overcome resettlement challenges and promote positive adjustment and psychological wellbeing. The findings also describe how their process of purpose development was closely related to and influenced by their four-dimensional acculturation experiences, with identity reformation and integration providing insights into their educational and occupational achievements and general life satisfaction as the determinants of long-term adjustment. In the following complementary quantitative study, a questionnaire was developed using existing scales and measurements to evaluate the levels of general purpose and BTS purpose, variables of resettlement challenges such as emotional strain and perceived discrimination, and key adjustment outcomes such as educational and occupational attainment. As a result of multiple regression analyses, the moderation effect of prosocial purpose was found to be statistically significant in promoting better adjustment outcomes by buffering the negative impact of resettlement challenges. (PsycINFO Database Record (c) 2019 APA, all rights reserved)</t>
  </si>
  <si>
    <t>http://search.ebscohost.com.proxy-ub.rug.nl/login.aspx?direct=true&amp;db=psyh&amp;AN=2019-00352-258&amp;site=ehost-live&amp;scope=site</t>
  </si>
  <si>
    <t>Quality of Life Among Iranian Refugees Resettled in Sweden.</t>
  </si>
  <si>
    <t>Ghazinour, Mehdi; Richter, Jörg; Eisemann, Martin</t>
  </si>
  <si>
    <t>2004-11956-004</t>
  </si>
  <si>
    <t>10.1023/B:JOIH.0000019167.04252.58</t>
  </si>
  <si>
    <t>Coping Behavior; Emotional Trauma; Quality of Life; Refugees; Social Support; Psychopathology; Adulthood (18 yrs &amp; older); Male; Female</t>
  </si>
  <si>
    <t>The relationships between quality of life, psychopathological manifestations and coping related variables (coping resources, social support, sense of coherence) were examined among individuals who have perceived several severe traumata. One hundred Iranian refugees resettled in Sweden have been investigated by the Symptom Checklist (SCL-90-R), the Beck Depression Inventory (BDI), the Coping Resources Inventory (CRI), and the Interview Schedule for Social Interaction (ISSI), the Sense of Coherence Scale (SOC), and the WHOQoL-100 questionnaire in a cross-sectional study. Individuals, traumatized by combat experiences as a soldier during the war, with low BDI scores showed on average the significantly highest overall quality of life, the best physical health, the highest scores according to the sense of coherence most pronounced for 'Meaningfulness,' and the best availability of social integration compared to participants who did not had these experiences in combats and those with the experience but scored high in the BDI. Quality of life, coping resources, and social support were found closely related to psychopathological manifestations. Motivational orientations (highly developed Meaningfulness--SOC) and various coping competencies probably enable some traumatized individuals to resist against several traumata and to live in a good quality of life without psychopathological disturbances. (PsycINFO Database Record (c) 2016 APA, all rights reserved)</t>
  </si>
  <si>
    <t>http://search.ebscohost.com.proxy-ub.rug.nl/login.aspx?direct=true&amp;db=psyh&amp;AN=2004-11956-004&amp;site=ehost-live&amp;scope=site</t>
  </si>
  <si>
    <t>Racial and ethnic representation in gifted programs: Current status of and implications for gifted Asian American students.</t>
  </si>
  <si>
    <t>Yoon, So Yoon; Gentry, Marcia</t>
  </si>
  <si>
    <t>Gifted Child Quarterly</t>
  </si>
  <si>
    <t>2009-04867-004</t>
  </si>
  <si>
    <t>10.1177/0016986208330564</t>
  </si>
  <si>
    <t>Cross Cultural Differences; Elementary Schools; Gifted; Racial and Ethnic Differences; Secondary Education; Blacks</t>
  </si>
  <si>
    <t>The Elementary and Secondary School Survey data and Civil Rights Data Collection of the Office for Civil Rights (OCR) were analyzed to describe the issue of overrepresentation of gifted Asian American students in gifted education programs in the United States. Nationally, Asian and Whites have been over represented in gifted education since 1978, whereas, students from other ethnic backgrounds, such as those from American Indian or Alaska Native, Hispanic, and African American groups, have been underrepresented with gradual increases in this under representation since 1994. When the data were disaggregated by state for the period from 2002 to 2006, each racial and ethnic group displayed varied ranges of representation. Those varied distributions can be attributed to each state’s unique demographic profile, varied definitions of giftedness, identification procedures, and identification policies. By focusing on Asian American students, this study addressed some difficulties that gifted Asian American students may face concerning the image of model minority and through the acculturation processes as immigrants or descendents of immigrants. Furthermore, this study suggests a need for disaggregated data collection and more research concerning gifted Asian American students from various ethnic Asian groups. (PsycINFO Database Record (c) 2016 APA, all rights reserved)</t>
  </si>
  <si>
    <t>http://search.ebscohost.com.proxy-ub.rug.nl/login.aspx?direct=true&amp;db=psyh&amp;AN=2009-04867-004&amp;site=ehost-live&amp;scope=site</t>
  </si>
  <si>
    <t>Racial discrimination and psychological distress: The impact of ethnic identity and age among immigrant and United States-born Asian adults.</t>
  </si>
  <si>
    <t>Yip, Tiffany; Gee, Gilbert C.; Takeuchi, David T.</t>
  </si>
  <si>
    <t>2008-05171-013</t>
  </si>
  <si>
    <t>10.1037/0012-1649.44.3.787</t>
  </si>
  <si>
    <t>Asians; Distress; Ethnic Identity; Immigration; Race and Ethnic Discrimination; Age Differences; Adulthood (18 yrs &amp; older); Young Adulthood (18-29 yrs); Thirties (30-39 yrs); Middle Age (40-64 yrs); Aged (65 yrs &amp; older); Male; Female</t>
  </si>
  <si>
    <t>The association between racial and ethnic discrimination and psychological distress was examined among 2,047 Asians (18 to 75 years of age) in the National Latino and Asian American Study, the first-ever nationally representative study of mental health among Asians living in the United States. Stratifying the sample by age in years (i.e., 18 to 30, 31 to 40, 41 to 50, 51 to 75) and nativity status (i.e., immigrant vs. U.S.-born), ethnic identity was tested as either a protective or exacerbating factor. Analyses showed that ethnic identity buffered the association between discrimination and mental health for U.S.-born individuals 41 to 50 years of age. For U.S.-born individuals 31 to 40 years of age and 51 to 75 years of age, ethnic identity exacerbated the negative effects of discrimination on mental health. The importance of age and immigrant status for the association between ethnic identity, discrimination, and well-being among Asians in the United States is discussed. (PsycInfo Database Record (c) 2020 APA, all rights reserved)</t>
  </si>
  <si>
    <t>http://search.ebscohost.com.proxy-ub.rug.nl/login.aspx?direct=true&amp;db=psyh&amp;AN=2008-05171-013&amp;site=ehost-live&amp;scope=site</t>
  </si>
  <si>
    <t>Racial discrimination, multiple group identities, and civic beliefs among immigrant adolescents.</t>
  </si>
  <si>
    <t>Chan, Wing Yi; Latzman, Robert D.</t>
  </si>
  <si>
    <t>2014-56036-001</t>
  </si>
  <si>
    <t>10.1037/cdp0000021</t>
  </si>
  <si>
    <t>Adolescent Attitudes; Ethnic Identity; Group Identity; Immigration; Race and Ethnic Discrimination; Adolescence (13-17 yrs); Male; Female</t>
  </si>
  <si>
    <t>The present study tested the independent and interactive effects of multiple group identities (i.e., American and ethnic) and racial discrimination on civic beliefs among immigrant adolescents. Seventy-seven participants completed a questionnaire during after-school programs. Ethnic identity was positively associated with civic beliefs whereas racial discrimination was negatively related to civic beliefs, and racial discrimination moderated the relationships between multiple group identities and civic beliefs. Our findings highlight the importance of studying structural and individual factors jointly in the investigation of civic beliefs among immigrant adolescents. (PsycINFO Database Record (c) 2017 APA, all rights reserved)</t>
  </si>
  <si>
    <t>http://search.ebscohost.com.proxy-ub.rug.nl/login.aspx?direct=true&amp;db=psyh&amp;AN=2014-56036-001&amp;site=ehost-live&amp;scope=site</t>
  </si>
  <si>
    <t>Racial/ethnic differences in emotional health: A longitudinal study of immigrants’ adolescent children.</t>
  </si>
  <si>
    <t>Lo, Celia C.; Hopson, Laura M.; Simpson, Gaynell M.; Cheng, Tyrone C.</t>
  </si>
  <si>
    <t>2016-37522-001</t>
  </si>
  <si>
    <t>10.1007/s10597-016-0049-8</t>
  </si>
  <si>
    <t>Immigration; Mental Health; Racial and Ethnic Differences; Adolescent Characteristics; Emotional Health; Acculturation; Ethnic Identity; Race and Ethnic Discrimination; Childhood (birth-12 yrs); School Age (6-12 yrs); Adolescence (13-17 yrs); Adulthood (18 yrs &amp; older); Young Adulthood (18-29 yrs); Male; Female</t>
  </si>
  <si>
    <t>First, discrimination was conceptualized as a major source of stress for immigrants’ adolescent children. Next, such children’s emotional health (indicated by measures of self-esteem and depression) was examined for possible associations with discrimination, psychosocial supports, and social structure; additionally, race/ethnicity’s possible moderating role in such associations was evaluated. Data from the first 2 waves of the Children of Immigrants Longitudinal Study (1991–2006) were employed, focusing on 3 groups: Asians, Hispanics, and Whites. Linear regression analyses were used to weigh how discrimination, psychosocial supports, and social structure measured at Wave 1 and Wave 2 related to self-esteem and depression measured at Wave 2. Asians exhibited the highest level of depression and were most likely to perceive discrimination; Asians’ self-esteem was also low, compared to other groups’. Discrimination and psychosocial supports appeared to operate differentially in explaining the 3 groups’ emotional health. (PsycInfo Database Record (c) 2020 APA, all rights reserved)</t>
  </si>
  <si>
    <t>http://search.ebscohost.com.proxy-ub.rug.nl/login.aspx?direct=true&amp;db=psyh&amp;AN=2016-37522-001&amp;site=ehost-live&amp;scope=site</t>
  </si>
  <si>
    <t>Random sampling for a mental health survey in a deprived multi-ethnic area of Berlin.</t>
  </si>
  <si>
    <t>Mundt, Adrian P.; Aichberger, Marion C.; Kliewe, Thomas; Ignatyev, Yuriy; Yayla, Seda; Heimann, Hannah; Schouler-Ocak, Meryam; Busch, Markus; Rapp, Michael; Heinz, Andreas; Ströhle, Andreas</t>
  </si>
  <si>
    <t>2012-29480-018</t>
  </si>
  <si>
    <t>10.1007/s10597-012-9483-4</t>
  </si>
  <si>
    <t>Mental Health Services; Random Sampling; Surveys; Multiculturalism; Adulthood (18 yrs &amp; older); Young Adulthood (18-29 yrs); Thirties (30-39 yrs); Middle Age (40-64 yrs); Male; Female</t>
  </si>
  <si>
    <t>The aim of the study was to assess the response to random sampling for a mental health survey in a deprived multi-ethnic area of Berlin, Germany, with a large Turkish-speaking population. A random list from the registration office with 1,000 persons stratified by age and gender was retrieved from the population registry and these persons were contacted using a three-stage design including written information, telephone calls and personal contact at home. A female bilingual interviewer contacted persons with Turkish names. Of the persons on the list, 202 were not living in the area, one was deceased, 502 did not respond. Of the 295 responders, 152 explicitly refused (51.5%) to participate. We retained a sample of 143 participants (48.5%) representing the rate of multi-ethnicity in the area (52.1% migrants in the sample vs. 53.5% in the population). Turkish migrants were over-represented (28.9% in the sample vs. 18.6% in the population). Polish migrants (2.1 vs. 5.3% in the population) and persons from the former Yugoslavia (1.4 vs. 4.8% in the population) were under-represented. Bilingual contact procedures can improve the response rates of the most common migrant populations to random sampling if migrants of the same origin gate the contact. High non-contact and non-response rates for migrant and non-migrant populations in deprived urban areas remain a challenge for obtaining representative random samples. (PsycINFO Database Record (c) 2016 APA, all rights reserved)</t>
  </si>
  <si>
    <t>http://search.ebscohost.com.proxy-ub.rug.nl/login.aspx?direct=true&amp;db=psyh&amp;AN=2012-29480-018&amp;site=ehost-live&amp;scope=site</t>
  </si>
  <si>
    <t>Re-acculturation and adaptation among adolescents from returned Portuguese immigrant families.</t>
  </si>
  <si>
    <t>2012-01550-006</t>
  </si>
  <si>
    <t>10.1111/j.1559-1816.2011.00873.x</t>
  </si>
  <si>
    <t>Acculturation; Adaptation; Adolescent Attitudes; Family; Immigration; Adolescence (13-17 yrs); Adulthood (18 yrs &amp; older); Young Adulthood (18-29 yrs); Male; Female</t>
  </si>
  <si>
    <t>The aims of this study were to investigate the degree of psychological and sociocultural adaptation among adolescents from returned Portuguese immigrant families and the factors that may predict adaptation. The study sample consisted of 360 adolescents from returned Portuguese immigrant families who answered a self-report questionnaire. A control group involving 217 Portuguese youths was also included in the study. Adolescents from returned immigrant families revealed similar levels of psychological adaptation and better sociocultural adaptation in comparison with peers who have never migrated. Predictive factors—sociodemographic and intercultural contact variables—were significantly linked to youths’ adaptation. It is concluded that perceived discrimination plays an essential role in re-acculturation outcomes. (PsycINFO Database Record (c) 2016 APA, all rights reserved)</t>
  </si>
  <si>
    <t>http://search.ebscohost.com.proxy-ub.rug.nl/login.aspx?direct=true&amp;db=psyh&amp;AN=2012-01550-006&amp;site=ehost-live&amp;scope=site</t>
  </si>
  <si>
    <t>Reading anxiety, classroom anxiety, language motivation, reader self-perception, and Arabic achievement of Arab-American students learning Arabic as a second language.</t>
  </si>
  <si>
    <t>Alkhateeb, Haitham M.</t>
  </si>
  <si>
    <t>2015-07858-025</t>
  </si>
  <si>
    <t>10.2466/11.PR0.115c27z6</t>
  </si>
  <si>
    <t>Academic Achievement; Anxiety; Classroom Environment; Reading; Self-Perception; Arabs; Foreign Language Learning; Grade Level; Human Sex Differences; Middle School Students; Motivation; Childhood (birth-12 yrs); School Age (6-12 yrs); Adolescence (13-17 yrs); Male; Female</t>
  </si>
  <si>
    <t>The present study assessed the relations between reading anxiety, classroom anxiety, language motivation, and readers' self-perception for a sample of Arab-American students in Arabic classes. The effects of sex, grade, and years studying Arabic on academic achievement were examined as well. Measures were administered to 118 middle school students (56 boys, 62 girls; M age = 13.0 yr., SD = 0.8), and teachers reported academic grades in Arabic. Reading anxiety was significantly correlated with classroom anxiety and reader self-perception. Classroom anxiety scores were significantly correlated with motivation and reader self-perception. Significant positive correlations were found between language motivation and reader self-perception scores, and between years studying Arabic and reader self-perception scores. Boys in the second year of Arabic had significantly lower classroom anxiety than girls, and students in Grade 7 had higher reader self-perception than those in Grade 8. Classroom anxiety, language motivation, and reader self-perception significantly predicted Arabic achievement. Pedagogical implications are discussed. (PsycINFO Database Record (c) 2016 APA, all rights reserved)</t>
  </si>
  <si>
    <t>http://search.ebscohost.com.proxy-ub.rug.nl/login.aspx?direct=true&amp;db=psyh&amp;AN=2015-07858-025&amp;site=ehost-live&amp;scope=site</t>
  </si>
  <si>
    <t>Recent cannabis use among adolescent and young adult immigrants in the Netherlands—The roles of acculturation strategy and linguistic acculturation.</t>
  </si>
  <si>
    <t>Delforterie, Monique J.; Creemers, Hanneke E.; Huizink, Anja C.</t>
  </si>
  <si>
    <t>Drug and Alcohol Dependence</t>
  </si>
  <si>
    <t>2014-09698-005</t>
  </si>
  <si>
    <t>10.1016/j.drugalcdep.2013.12.014</t>
  </si>
  <si>
    <t>Acculturation; Age Differences; Cannabis; Drug Usage; Immigration; Linguistics; Adolescence (13-17 yrs); Adulthood (18 yrs &amp; older); Young Adulthood (18-29 yrs); Male; Female</t>
  </si>
  <si>
    <t>Background: The present study examined the relation between two different acculturation measures (i.e., linguistic acculturation and the acculturation strategies integration, separation and marginalization) and past year cannabis use. Additionally, we studied the mediating role of affiliation with cannabis-using peers. Method: Data were utilized from i4culture, a Dutch study on immigrant adolescents and young adults aged 15–24 years. Participants belonged to the five largest immigrant populations in the Netherlands, living in or around the four major Dutch cities: Amsterdam, the Hague, Rotterdam, and Utrecht. In total, 771 adolescents and young adults (mean age 19.29, SD = 2.61, 53.8% female) from Surinamese (n = 210, 27.2%), Moroccan (n = 209, 27.1%), Turkish (n = 110, 14.3%), Antillean (n = 109, 14.1%), and Asian (n = 133, 17.3%) backgrounds participated. With questionnaires, past year cannabis use, acculturation strategy, linguistic acculturation, and affiliation with cannabis-using peers were assessed. Results: Using logistic regression analyses, we found no relation between acculturation strategy and past year cannabis use (OR = 1.25, p = 0.38 for separation vs integration and OR = 0.86, p = 0.50 for marginalization vs integration). Linguistic acculturation was positively related to cannabis use (OR = 2.20, p &lt; 0.01). Affiliation with cannabis-using peers partly mediated this relation (OR = 1.09, p &lt; 0.01). Conclusions: Non-Western immigrant youngsters who speak the host culture’s language at home are more likely to use cannabis than youngsters who speak their native language at home. The former group is more likely to affiliate with cannabis-using peers, which partly explains their increased risk of cannabis use. (PsycINFO Database Record (c) 2018 APA, all rights reserved)</t>
  </si>
  <si>
    <t>http://search.ebscohost.com.proxy-ub.rug.nl/login.aspx?direct=true&amp;db=psyh&amp;AN=2014-09698-005&amp;site=ehost-live&amp;scope=site</t>
  </si>
  <si>
    <t>Refugee economic adaptation: Theory, evidence, and implications for policy and practice.</t>
  </si>
  <si>
    <t>Potocky-Tripodi, Miriam</t>
  </si>
  <si>
    <t>Journal of Social Service Research</t>
  </si>
  <si>
    <t>2003-10953-004</t>
  </si>
  <si>
    <t>10.1300/J079v30n01_04</t>
  </si>
  <si>
    <t>Adjustment; Economics; Employment Status; Income (Economic); Refugees; Acculturation; Asians; Demographic Characteristics; Stress; Adulthood (18 yrs &amp; older); Young Adulthood (18-29 yrs); Thirties (30-39 yrs); Middle Age (40-64 yrs); Aged (65 yrs &amp; older); Male; Female</t>
  </si>
  <si>
    <t>A theoretical model of predictors of refugee economic adaptation was tested using data from a telephone survey of a random sample of Hmong, Somali, and Russian refugees resettled in Minneapolis-St. Paul. The study examined the relative influence of demographic characteristics, flight-related characteristics, host-related characteristics, residency characteristics, acculturation characteristics, and adaptation stresses upon refugees' employment status and estimated earnings. Although previous studies have extensively examined demographic and residency characteristics, the relative influence of the other factors has not been comprehensively investigated. Multivariate analyses indicated that across the different refugee groups, the model explained 34-44% of the variance in employment status and 12-26% of the variance in estimated earnings. Consistent with previous findings, demographic characteristics, in particular, education, gender, and household composition, had the largest effects on the indicators of economic adaptation. The remaining factors had relatively small effects. The implications for refugee resettlement theory, policy, practice, and future research are discussed in light of these and previous findings. (PsycINFO Database Record (c) 2016 APA, all rights reserved)</t>
  </si>
  <si>
    <t>http://search.ebscohost.com.proxy-ub.rug.nl/login.aspx?direct=true&amp;db=psyh&amp;AN=2003-10953-004&amp;site=ehost-live&amp;scope=site</t>
  </si>
  <si>
    <t>Region of birth, sex, and reproductive health in rural immigrant Latino farmworkers: The MICASA study.</t>
  </si>
  <si>
    <t>McCurdy, Stephen A.; Stoecklin‐Marois, Maria T.; Tancredi, Daniel J.; Hennessy‐Burt, Tamara E.; Schenker, Marc B.</t>
  </si>
  <si>
    <t>2015-14697-007</t>
  </si>
  <si>
    <t>10.1111/jrh.12083</t>
  </si>
  <si>
    <t>Birth Control; Immigration; Reproductive Health; Latinos/Latinas; Sexual Health; Sexual Partners; Agriculture; Adulthood (18 yrs &amp; older); Young Adulthood (18-29 yrs); Male; Female</t>
  </si>
  <si>
    <t>Purpose: Characterize sexual and reproductive health among immigrant Latino farmworkers. Methods: We surveyed 806 immigrant Latino farmworkers from Mexico and Central America in a rural agricultural community in California’s Central Valley. Findings: A total of 556 respondents were born in Mexico (272 men, 284 women) and 250 in Central America (135 men, 115 women). The majority entered the United States as young adults, with median age at immigration ranging from 20 (Mexican-born men) to 24 (Central American-born women). Nearly 95% of respondents were married or cohabiting. Median age for sexual debut was 18 for women and was younger for men (adjusted mean difference: –2.1 years, 95% CI: –2.6 to –1.7). Median number of lifetime sexual partners was 1 for women and greater for men (adjusted mean difference: 2.0 partners, 95% CI: 1.3-2.7). Contraception use was less likely among men and among Central American women compared to Mexico-born women. Among sexually active persons not using contraception, the most common reasons for nonuse were 'Don’t want to'/'Don’t like any' followed by desire to become or being pregnant. Women reported a median of 3 pregnancies; there were no significant differences based on respondents’ region of birth. Conclusions: This group of Latino immigrants demonstrated behaviors conducive to reproductive health: late sexual debut, few lifetime sexual partners, and high prevalence of marriage. Preventive education campaigns should focus on maintaining healthy behaviors, especially in men. Identifying groups with common provenance and cultural heritage may aid in maximizing acceptability and effectiveness of prevention programs. (PsycINFO Database Record (c) 2019 APA, all rights reserved)</t>
  </si>
  <si>
    <t>http://search.ebscohost.com.proxy-ub.rug.nl/login.aspx?direct=true&amp;db=psyh&amp;AN=2015-14697-007&amp;site=ehost-live&amp;scope=site</t>
  </si>
  <si>
    <t>Regulatory focus and attitudes to migrants.</t>
  </si>
  <si>
    <t>Whelan, Jennifer; Laham, Simon M.; Peters, Kim; Boldero, Jennifer; Kashima, Yoshihisa</t>
  </si>
  <si>
    <t>2010-09321-004</t>
  </si>
  <si>
    <t>10.1080/00207590903511203</t>
  </si>
  <si>
    <t>Attitudes; Cross Cultural Differences; Human Migration; Self-Regulation; Adulthood (18 yrs &amp; older); Male; Female</t>
  </si>
  <si>
    <t>In two studies we examined the role of two regulatory foci (i.e., prevention and promotion) in predicting Australian's attitudes to different types of migrants. According to regulatory focus theory, promotion-focused self-regulation is concerned with nurturance and accomplishment needs and involves the pursuit of wishes and aspirations. As such, it results in sensitivity to positive outcomes and to relative pleasure from gains. On the other hand, prevention-focused self-regulation is concerned with security needs and is directed at meeting duties and obligations. As such, it results in sensitivity to negative outcome and relative pain from losses. In Study 1, as predicted, the extent of promotion focus (i.e., a concern with accomplishment and the pursuit of ideals) predicted more positive attitudes to culturally similar and economically beneficial migrants, whereas the extent of prevention focus (i.e., concern with security and meeting obligations) predicted more negative attitudes to migrants who are culturally dissimilar. In Study 2 we replicated and extended these findings, showing that the extent of promotion focus and a lack of concern with threats predicted positive attitudes to both culturally similar and economically beneficial migrants, which, in the case of the latter group, was mediated by a focus on the benefits these migrants provide. In the case of culturally dissimilar migrants, the extent of promotion focus and a concern with gains predicted more positive attitudes. However, for economically less beneficial migrants, neither the extent of promotion nor prevention focus was a predictor. Only lower concerns with threat predicted more positive attitudes to this migrant group. The results are discussed with respect to other determinants of attitudes to migrants and the implications for migration and asylum-seeker policy. (PsycINFO Database Record (c) 2016 APA, all rights reserved)</t>
  </si>
  <si>
    <t>http://search.ebscohost.com.proxy-ub.rug.nl/login.aspx?direct=true&amp;db=psyh&amp;AN=2010-09321-004&amp;site=ehost-live&amp;scope=site</t>
  </si>
  <si>
    <t>Reification and the refugee: Using a counterposing dialogical analysis to unlock a frozen category.</t>
  </si>
  <si>
    <t>Mahendran, Kesi; Magnusson, Nicola; Howarth, Caroline; Scuzzarello, Sarah</t>
  </si>
  <si>
    <t>Journal of Social and Political Psychology</t>
  </si>
  <si>
    <t>2020-69308-025</t>
  </si>
  <si>
    <t>10.5964/jspp.v7i1.656</t>
  </si>
  <si>
    <t>PsychOpen</t>
  </si>
  <si>
    <t>Citizenship; Narratives; Refugees; Social Integration; Adulthood (18 yrs &amp; older); Male; Female</t>
  </si>
  <si>
    <t>Thousands of individuals each year seek refugee status and the question of who can be accepted requires politicians within democracies to seek a public mandate. Unlike other socio-political categories individuals cannot self-identify as refugee; the category must be bureaucratically conferred. Therefore sustained humanitarian public concern is vital to the acceptance of refugees. This article sets parameters on this public concern. It examines how public narratives reify the refugee category. Showing how this reification constrains the citizenship, integration and opportunities of individuals, now safe, yet continually categorized in everyday public discourse as refugee. Interviews, focus groups (Study 1) and ethnography (Study 2) were conducted in Sweden and the United Kingdom (N = 57). The article introduces a counterposing dialogical analysis where public positioning of refugees is counterposed against dialogue by 'refugees' anticipating their positioning. The analysis uncovers an hegemonic social representation of humanitarianism indexing 'the refugee' as the passive recipient of help framed by a public narrative diachronically frozen in the initial act of flight. Three objectifying reification processes stabilize the category. 'Refugees' in turn employ counter-positional tactics of distancing, compensation and future-orientation. The limited success of these tactics suggest the need to scale up such tactics to collective-level communication strategies. Success of communication strategies requires questioning the underlying function humanitarian-talk serves in creating a sense of European identity. Together these strategies could re-work the temporal features of the refugee category facilitating a repositioning and enabling the emergence of post-refugee narratives. (PsycInfo Database Record (c) 2020 APA, all rights reserved)</t>
  </si>
  <si>
    <t>http://search.ebscohost.com.proxy-ub.rug.nl/login.aspx?direct=true&amp;db=psyh&amp;AN=2020-69308-025&amp;site=ehost-live&amp;scope=site</t>
  </si>
  <si>
    <t>Relations between acculturation and alcohol use among international students.</t>
  </si>
  <si>
    <t>Kanaparthi, Ananth</t>
  </si>
  <si>
    <t>2010-99160-345</t>
  </si>
  <si>
    <t>Acculturation; Alcohol Drinking Patterns; International Students; Social Norms; Stress; Adulthood (18 yrs &amp; older)</t>
  </si>
  <si>
    <t>In the current study, 226 international students attending Florida International University responded to an Web-based questionnaire that assessed self-reported scores for: acculturation, acculturative stress, alcohol use patterns, perceived peer alcohol use, and perceived injunctive social norms for alcohol use. The purpose of the study was to evaluate structural relations among this set of variables using Structural Equation Modeling (SEM) via AMOS 17.0. The results of SEM analyses documented acceptable fit of a model which hypothesized that relations between acculturation and alcohol use variables are mediated partially by acculturative stress, perceived peer alcohol use, and perceived injunctive social norms. While significant path coefficients were documented for paths between (a) acculturation and acculturative stress and (b) acculturative stress and alcohol use, the coefficients had negative signs, contrary to existing studies investigating these relations among immigrant youth. While paths between (a) perceived peer alcohol use or (b) perceived injunctive social norms and participants’ alcohol use were significant, path coefficients between acculturation and either (a) perceived peer alcohol use or (b) perceived injunctive social norms were not statistically significant. In addition, multiple-group comparisons suggested that social support had a significant moderating influence on several significant paths in the structural model. Specifically, international students reporting higher social support reported lower scores for acculturative stress and alcohol use, in contrast to their counterparts who reported lower scores for social support. (PsycINFO Database Record (c) 2016 APA, all rights reserved)</t>
  </si>
  <si>
    <t>http://search.ebscohost.com.proxy-ub.rug.nl/login.aspx?direct=true&amp;db=psyh&amp;AN=2010-99160-345&amp;site=ehost-live&amp;scope=site</t>
  </si>
  <si>
    <t>Relations between trauma experiences and psychological, physical and neuroendocrine functioning among Somali refugees: Mediating role of coping with acculturation stressors.</t>
  </si>
  <si>
    <t>Matheson, Kimberly; Jorden, Skye; Anisman, Hymie</t>
  </si>
  <si>
    <t>2008-08746-001</t>
  </si>
  <si>
    <t>10.1007/s10903-007-9086-2</t>
  </si>
  <si>
    <t>Acculturation; Coping Behavior; Emotional Trauma; Refugees; Stress; Neuroendocrinology; Physique; Adulthood (18 yrs &amp; older); Young Adulthood (18-29 yrs); Thirties (30-39 yrs); Middle Age (40-64 yrs); Male; Female</t>
  </si>
  <si>
    <t>Refugees may be prone to stress-related psychological and physical health disorders, coupled with disturbances of hypothalamic–pituitary–adrenal functioning reflected by cortisol levels. It was suggested that traumatic encounters would directly influence stress-related outcomes, as well as indirectly influence them by undermining refugees’ ability to cope with acculturation challenges. Somali refugees to Canada (N = 90) consistently reported encountering trauma, which was related to poorer self-reported outcomes (trauma symptoms, depressive affect, physical health), and these relations were mediated by increased use of emotion-focused (especially avoidant) coping strategies. Trauma symptoms and multiple traumatic experiences were associated with an exaggerated morning cortisol rise, but with a blunted response to stressor reminder cues. This blunted cortisol reactivity among participants encountering prior trauma was mediated by their increased propensity to cope by means of passive resignation. Evidently, refugees were at risk for stress-related dysfunction long after migrating, and the diminished capacity to cope with acculturation challenges was particularly important in this regard. (PsycINFO Database Record (c) 2016 APA, all rights reserved)</t>
  </si>
  <si>
    <t>http://search.ebscohost.com.proxy-ub.rug.nl/login.aspx?direct=true&amp;db=psyh&amp;AN=2008-08746-001&amp;site=ehost-live&amp;scope=site</t>
  </si>
  <si>
    <t>Relationship between acculturation and mental health as measured by depression and anxiety in jewish iranian immigrants in the united states.</t>
  </si>
  <si>
    <t>Saedi, Neda</t>
  </si>
  <si>
    <t>2010-99020-217</t>
  </si>
  <si>
    <t>Acculturation; Immigration; Major Depression; Anxiety; Mental Health; Adulthood (18 yrs &amp; older); Young Adulthood (18-29 yrs); Thirties (30-39 yrs); Middle Age (40-64 yrs); Aged (65 yrs &amp; older)</t>
  </si>
  <si>
    <t>This study examined the relationship between acculturation, depression, and anxiety in Jewish Iranian immigrants. A nonrandom sample of 72 Jewish Iranian men and women, ages 21 to 79, and residing in Southern California were recruited for the purpose of this study. Participants were administered four research instruments: a demographic (background) questionnaire, the Cultural Life Style Inventory (Mendoza, 1989) adapted for Iranian Americans to measure acculturation, the Beck Depression Inventory Second Edition (Beck et al., 1996), and the Beck Anxiety Inventory (Beck &amp; Steer, 1993). Two hypotheses were used to examine the relationship between acculturation, depression, and anxiety. Hypothesis one stated that there would be a significant relationship between type of acculturation (Immersion into the U.S. culture, Immersion into the Iranian culture, and Bicultural Immersion) and depression. Hypothesis one had three components. Hypothesis 1a stated that as immersion into the U.S. culture increased, depression scores would decrease. The results supported hypothesis 1a as stated (r = -.389, p &lt; .001). Hypothesis 1b stated that as immersion into the Iranian culture increased, depression scores would increase. The results supported hypothesis 1b as stated (r = .437, p &lt; .001). Hypothesis is stated that as immersion into both U.S. and Iranian cultures increased, depression scores would decrease. The results supported hypothesis 1c as stated (r = -.254, p = .016). Hypothesis two stated that there would be a significant relationship between type of acculturation (Immersion into the U.S. culture, Immersion into the Iranian culture, and Bicultural Immersion) and anxiety. Hypothesis two had three components. Hypothesis 2a stated that as immersion into the U.S. culture increased, anxiety scores would decrease. The results supported hypothesis 2a as stated (r = -.240, p = .001). Hypothesis 2b stated that as immersion into the Iranian culture increased, anxiety scores would increase (r = .350, p = .021). The results supported hypothesis 2b as stated. Hypothesis 2c stated that as immersion into both U.S. and Iranian cultures increased, anxiety scores would decrease. The results supported hypothesis 2c as stated (r = -.255, p = .015). (PsycINFO Database Record (c) 2016 APA, all rights reserved)</t>
  </si>
  <si>
    <t>http://search.ebscohost.com.proxy-ub.rug.nl/login.aspx?direct=true&amp;db=psyh&amp;AN=2010-99020-217&amp;site=ehost-live&amp;scope=site</t>
  </si>
  <si>
    <t>Relationship between past food deprivation and current dietary practices and weight status among Cambodian refugee women in Lowell, MA.</t>
  </si>
  <si>
    <t>Peterman, Jerusha Nelson; Wilde, Parke E.; Liang, Sidney; Bermudez, Odilia I.; Silka, Linda; Rogers, Beatrice Lorge</t>
  </si>
  <si>
    <t>2010-19791-004</t>
  </si>
  <si>
    <t>10.2105/AJPH.2009.175869</t>
  </si>
  <si>
    <t>Body Weight; Diets; Food Deprivation; Health Behavior; Refugees; Food Preferences; Human Females; Adulthood (18 yrs &amp; older); Thirties (30-39 yrs); Middle Age (40-64 yrs); Female</t>
  </si>
  <si>
    <t>Objectives: We investigated Cambodian refugee women’s past food experiences and the relationship between those experiences and current food beliefs, dietary practices, and weight status. Methods: Focus group participants (n = 11) described past food experiences and current health-related food beliefs and behaviors. We randomly selected survey participants (n = 133) from a comprehensive list of Cambodian households in Lowell, Massachusetts. We collected height, weight, 24-hour dietary recall, food beliefs, past food experience, and demographic information. We constructed a measure of past food deprivation from focus group and survey responses. We analyzed data with multivariate logistic and linear regression models. Results: Participants experienced severe past food deprivation and insecurity. Those with higher past food-deprivation scores were more likely to currently report eating meat with fat (odds ratio [OR] = 1.14 for every point increase on the 9-to-27–point food-deprivation measure), and to be overweight or obese by Centers for Disease Control and Prevention (OR = 1.28) and World Health Organization (OR = 1.18) standards. Conclusions: Refugees who experienced extensive food deprivation or insecurity may be more likely to engage in unhealthful eating practices and to be overweight or obese than are those who experienced less-extreme food deprivation or insecurity. (PsycINFO Database Record (c) 2016 APA, all rights reserved)</t>
  </si>
  <si>
    <t>http://search.ebscohost.com.proxy-ub.rug.nl/login.aspx?direct=true&amp;db=psyh&amp;AN=2010-19791-004&amp;site=ehost-live&amp;scope=site</t>
  </si>
  <si>
    <t>Relationship standards and relationship satisfaction in Chinese, Western, and intercultural couples living in Australia and Hong Kong, China.</t>
  </si>
  <si>
    <t>Halford, W. Kim; Leung, Patrick W. L.; Hung-Cheung, Chan; Chau-Wan, Lau; Hiew, Danika N.; van de Vijver, Fons J. R.</t>
  </si>
  <si>
    <t>2018-59056-001</t>
  </si>
  <si>
    <t>10.1037/cfp0000104</t>
  </si>
  <si>
    <t>Acculturation; Couples; Cross Cultural Differences; Relationship Satisfaction; Interpersonal Relationships; Family Relations; Test Construction; Adulthood (18 yrs &amp; older); Male; Female</t>
  </si>
  <si>
    <t>Partners in an intercultural couple can be similar because of selection effects (they were attracted to each other because of their similarity), accommodation (relationship length diminishes differences), or acculturation (the migrant partner adjusts to the dominant culture). The current study explored these sources of similarity, as well as the association of relationship standards with relationship satisfaction, by comparing intercultural couples (68 Chinese–Western couples) with two groups of monocultural couples (63 Western couples and 66 Chinese couples) across 2 countries of residence (China and Australia). Regardless of country of residence, Chinese couples rated Family Responsibility standards (e.g., relations with the extended family and maintaining relational harmony) as more important than Western couples. Western couples rated Couple Bond standards (e.g., the demonstration of love and caring) as more important than Chinese. Intercultural couples endorsed standards to an intermediate extent between the Chinese and Western couples. There was considerable similarity of partners’ standards within couples in all 3 groups of couples. Endorsement of Couple Bond standards and partner similarity on Family Responsibility standards were associated with relationship satisfaction across all 3 groups and both countries of residence. We conclude that cultural differences in endorsement of relationship standards show little acculturative change, at least in first-generation migrants. The substantial similarity in partners’ standards in intercultural couples seems to be due primarily to selection effects. The association of standards with satisfaction is remarkably similar across countries of residence and cultural groups. (PsycINFO Database Record (c) 2019 APA, all rights reserved)</t>
  </si>
  <si>
    <t>http://search.ebscohost.com.proxy-ub.rug.nl/login.aspx?direct=true&amp;db=psyh&amp;AN=2018-59056-001&amp;site=ehost-live&amp;scope=site</t>
  </si>
  <si>
    <t>Relationships between English language proficiency, health literacy, and health outcomes in Somali refugees.</t>
  </si>
  <si>
    <t>Murphy, Jessica E.; Smock, Laura; Hunter-Adams, Jo; Xuan, Ziming; Cochran, Jennifer; Paasche-Orlow, Michael K.; Geltman, Paul L.</t>
  </si>
  <si>
    <t>2019-21747-003</t>
  </si>
  <si>
    <t>10.1007/s10903-018-0765-y</t>
  </si>
  <si>
    <t>Language Proficiency; Refugees; Health Literacy; Health Outcomes; Health Status; English as Second Language; Mental Health; Physical Health; Adulthood (18 yrs &amp; older); Young Adulthood (18-29 yrs); Thirties (30-39 yrs); Middle Age (40-64 yrs); Male; Female</t>
  </si>
  <si>
    <t>Little is known about the impacts of health literacy and English proficiency on the health status of Somali refugees. Data came from interviews in 2009–2011 of 411 adult Somali refugees recently resettled in Massachusetts. English proficiency, health literacy, and physical and mental health were measured using the Basic English Skills Test Plus, the Short Test of Health Literacy in Adults, and the Physical and Mental Component Summaries of the Short Form-12. Associations were analyzed using multiple linear regression. In adjusted analyses, higher English proficiency was associated with worse mental health in males. English proficiency was not associated with physical health. Health literacy was associated with neither physical nor mental health. Language proficiency may adversely affect the mental health of male Somali refugees, contrary to findings in other immigrant groups. Research on underlying mechanisms and opportunities to understand this relationship are needed. (PsycInfo Database Record (c) 2020 APA, all rights reserved)</t>
  </si>
  <si>
    <t>http://search.ebscohost.com.proxy-ub.rug.nl/login.aspx?direct=true&amp;db=psyh&amp;AN=2019-21747-003&amp;site=ehost-live&amp;scope=site</t>
  </si>
  <si>
    <t>Relationships between ethnic identity, ethnic attitudes, and acculturative stress in Tunisian individuals in early and middle adolescence.</t>
  </si>
  <si>
    <t>Musso, Pasquale; Inguglia, Cristiano; Lo Coco, Alida</t>
  </si>
  <si>
    <t>The Journal of Early Adolescence</t>
  </si>
  <si>
    <t>2017-45575-006</t>
  </si>
  <si>
    <t>10.1177/0272431616659557</t>
  </si>
  <si>
    <t>Acculturation; Adolescent Development; Ethnic Identity; Immigration; Racial and Ethnic Attitudes; Childhood (birth-12 yrs); School Age (6-12 yrs); Adolescence (13-17 yrs); Male; Female</t>
  </si>
  <si>
    <t>Framed from an integrative approach, the current article examined the associations between ethnic identity exploration (EIE), ethnic identity commitment (EIC), and acculturative stress by investigating the mediating role of ethnic attitudes (i.e., in-group favoritism and out-group derogation) in these relationships. Additionally, the moderating role of age was analyzed. A multiple-group path analysis was performed on data collected from 256 Tunisians in early and 248 in middle adolescence living in Italy, which is an interesting and understudied immigrant group characterized by similarities and differences with the host population. In younger adolescents, EIE and EIC were indirectly and positively related to acculturative stress via the mediating role of in-group favoritism and out-group derogation. In older adolescents, EIE was related to higher levels of EIC, which, in turn, was predictive of acculturative stress. The findings are discussed in light of the theoretical framework, research context and limitations, and implications for practice are presented. (PsycINFO Database Record (c) 2018 APA, all rights reserved)</t>
  </si>
  <si>
    <t>http://search.ebscohost.com.proxy-ub.rug.nl/login.aspx?direct=true&amp;db=psyh&amp;AN=2017-45575-006&amp;site=ehost-live&amp;scope=site</t>
  </si>
  <si>
    <t>Relationships between integration and drug use among deported migrants in Tijuana, Mexico.</t>
  </si>
  <si>
    <t>Horyniak, Danielle; Pinedo, Miguel; Burgos, Jose Luis; Ojeda, Victoria D.</t>
  </si>
  <si>
    <t>2017-38037-021</t>
  </si>
  <si>
    <t>10.1007/s10903-016-0518-8</t>
  </si>
  <si>
    <t>Drug Abuse; Human Migration; Social Integration; Adulthood (18 yrs &amp; older); Thirties (30-39 yrs); Middle Age (40-64 yrs); Male; Female</t>
  </si>
  <si>
    <t>Deported migrants face numerous challenges which may elevate their risk for drug use. We examined relationships between integration and drug use among deported migrants in Tijuana, Mexico. A cross-sectional survey conducted at a free health clinic included 255 deported Mexican-born migrants residing in Tijuana ≥ 6 months. Multivariable logistic regression examined associations between variables across four integration domains (public participation, social connections, macro-level facilitators and foundations) and recent (past 6-month) drug use. The prevalence of recent drug use was 46 %. Having sought work in Tijuana in the past 6 months, greater household affluence, lifetime history of incarceration in both US and Mexico, and lacking health insurance were independently associated with recent drug use. Policies that support access to employment, adequate housing and healthcare in Mexico, particularly for justice-involved deportees, may facilitate successful integration and reduce potential stressors that may contribute to drug use. (PsycINFO Database Record (c) 2017 APA, all rights reserved)</t>
  </si>
  <si>
    <t>http://search.ebscohost.com.proxy-ub.rug.nl/login.aspx?direct=true&amp;db=psyh&amp;AN=2017-38037-021&amp;site=ehost-live&amp;scope=site</t>
  </si>
  <si>
    <t>Relationships of acculturative stress, depression, and social support to health-related quality of life in Vietnamese immigrant women in South Korea.</t>
  </si>
  <si>
    <t>Chae, Sun-Mi; Park, Jee Won; Kang, Hee Sun</t>
  </si>
  <si>
    <t>2014-11129-004</t>
  </si>
  <si>
    <t>10.1177/1043659613515714</t>
  </si>
  <si>
    <t>Acculturation; Depression (Emotion); Quality of Life; Social Support; Stress; Health; Human Females; Immigration; Health Related Quality of Life; Adulthood (18 yrs &amp; older); Young Adulthood (18-29 yrs); Thirties (30-39 yrs); Middle Age (40-64 yrs); Aged (65 yrs &amp; older); Female</t>
  </si>
  <si>
    <t>Purpose: Promoting the health-related quality of life (HRQOL) is an important aim of nursing care for immigrant women. The aim of this study was to evaluate the level of HRQOL and its relationships with social support, acculturative stress, and depression among Vietnamese immigrant women. Method: A total of 216 Vietnamese immigrant women residing in South Korea participated in the study. Participants completed a series of questionnaires, including measures of social support, acculturative stress, depression, and HRQOL. For statistical analyses, a path analysis was applied. Results: Social support, acculturative stress, depression, and HRQOL were interrelated. Acculturative stress and depression directly influenced the mental health component of HRQOL, whereas social support indirectly influenced HRQOL through acculturative stress and depression. Only depression directly influenced the physical health component of HRQOL. Conclusion: Results suggest that social support and acculturative stress are related factors in preventing depression and promoting HRQOL, especially mental health, among Vietnamese immigrant women. (PsycINFO Database Record (c) 2019 APA, all rights reserved)</t>
  </si>
  <si>
    <t>http://search.ebscohost.com.proxy-ub.rug.nl/login.aspx?direct=true&amp;db=psyh&amp;AN=2014-11129-004&amp;site=ehost-live&amp;scope=site</t>
  </si>
  <si>
    <t>Religion in the hallways: Academic performance and psychological distress among immigrant origin Muslim adolescents in high schools.</t>
  </si>
  <si>
    <t>Oberoi, Ashmeet Kaur; Trickett, Edison J.</t>
  </si>
  <si>
    <t>2018-13272-001</t>
  </si>
  <si>
    <t>10.1002/ajcp.12238</t>
  </si>
  <si>
    <t>Academic Achievement; Distress; Muslims; School Environment; Student Attitudes; High School Students; Test Construction; Adolescence (13-17 yrs); Male; Female</t>
  </si>
  <si>
    <t>Islamic norms and Islamophobia present unique challenges for Muslim adolescents in Western countries. For Muslim students, even 'secular' public schools are not a religion‐free space because their religious beliefs and values are central in their manner of living. To inquire more about these issues, an exploratory sequential design mixed‐method study was conducted that included focus groups and a survey addressing the public school experiences of Muslim adolescents in a Midwestern state in the United States and how those experiences are related to their academic achievement, educational aspirations, and psychological adjustment. Overall, the findings characterize this study's sample as coping well in the school context in terms of academic achievement, high educational expectations, and relatively low levels of psychological distress. However, those who experience greater frequency and severity of hassles at school report higher levels of psychological distress. In particular, the frequency of hassles associated with representing Islam, limited English competency, relations with both Muslim and non‐Muslim peers, and religious discrimination at school related to increased distress. Together, these findings suggest the importance of considering both individual and ecological determinants of wellbeing for Muslim adolescents. The findings also suggest the importance of looking more carefully at the sample, context, and time when the data were collected before making generalizations within or across cultural and/or religious groups. (PsycINFO Database Record (c) 2018 APA, all rights reserved)</t>
  </si>
  <si>
    <t>http://search.ebscohost.com.proxy-ub.rug.nl/login.aspx?direct=true&amp;db=psyh&amp;AN=2018-13272-001&amp;site=ehost-live&amp;scope=site</t>
  </si>
  <si>
    <t>Religiosity, psychological acculturation to the host culture, self-esteem and depressive symptoms among stigmatized and nonstigmatized religious immigrant groups in Western Europe.</t>
  </si>
  <si>
    <t>Friedman, Mike; Saroglou, Vassilis</t>
  </si>
  <si>
    <t>2010-09879-008</t>
  </si>
  <si>
    <t>10.1080/01973531003738387</t>
  </si>
  <si>
    <t>Acculturation; Immigration; Religiosity; Self-Esteem; Stigma; Major Depression; Adulthood (18 yrs &amp; older); Male; Female</t>
  </si>
  <si>
    <t>This study examined the associations among religiosity, psychological acculturation to the host culture, and self-esteem and depressive symptoms among immigrants to a secular European country (Belgium). A first hypothesis proposed that religiosity would be negatively indirectly associated with psychological acculturation through the intervening mechanism of perceived distance between the home and host cultures. A second hypothesis proposed that religiosity would be indirectly negatively related to self-esteem and indirectly positively related to depressive symptoms through (a) reduced perceptions that religious beliefs are tolerated by the host culture and (b) feelings of anger toward the host society. The first hypothesis received support among stigmatized and nonstigmatized religious groups, whereas the second was supported only for members of the stigmatized religious group. (PsycINFO Database Record (c) 2016 APA, all rights reserved)</t>
  </si>
  <si>
    <t>http://search.ebscohost.com.proxy-ub.rug.nl/login.aspx?direct=true&amp;db=psyh&amp;AN=2010-09879-008&amp;site=ehost-live&amp;scope=site</t>
  </si>
  <si>
    <t>Religious ambivalence: Suppression of pro-social attitudes toward asylum seekers by right-wing authoritarianism.</t>
  </si>
  <si>
    <t>Perry, Ryan; Paradies, Yin; Pedersen, Anne</t>
  </si>
  <si>
    <t>International Journal for the Psychology of Religion</t>
  </si>
  <si>
    <t>2015-30879-004</t>
  </si>
  <si>
    <t>10.1080/10508619.2014.921473</t>
  </si>
  <si>
    <t>Ambivalence; Authoritarianism; Prosocial Behavior; Refugees; Social Groups; Acculturation; Prejudice; Adulthood (18 yrs &amp; older); Young Adulthood (18-29 yrs); Thirties (30-39 yrs); Middle Age (40-64 yrs); Aged (65 yrs &amp; older); Male; Female</t>
  </si>
  <si>
    <t>A survey of 168 White Australian community members examined whether ambivalence toward certain social groups by some religious individuals constituted a suppression effect in which authoritarian motivated prejudice suppressed more pro-social attitudes toward asylum seekers. Using mediation analysis, it was found that Christian religious identity was not significantly associated with prejudice at a bivariate level. However, when Right-Wing Authoritarianism (RWA) was taken into account, Christians (compared with non-Christians) were less likely to hold negative attitudes toward asylum seekers in Australia. Inclusion of acculturation ideologies (assimilation, multiculturalism, and color-blindness) in the models indicated that the suppression effect was specific to RWA rather than due to other intergroup attitudes. However, findings suggest that multiculturalism may be one proximal indicator of Christian pro-sociality. (PsycINFO Database Record (c) 2016 APA, all rights reserved)</t>
  </si>
  <si>
    <t>http://search.ebscohost.com.proxy-ub.rug.nl/login.aspx?direct=true&amp;db=psyh&amp;AN=2015-30879-004&amp;site=ehost-live&amp;scope=site</t>
  </si>
  <si>
    <t>Religious coping and acculturation stress among Hindu Bhutanese: A study of newly-resettled refugees in the United States.</t>
  </si>
  <si>
    <t>Benson, G. Odessa; Sun, Fei; Hodge, David R.; Androff, David K.</t>
  </si>
  <si>
    <t>2012-17281-007</t>
  </si>
  <si>
    <t>10.1177/0020872811417474</t>
  </si>
  <si>
    <t>Acculturation; Coping Behavior; Refugees; Religious Beliefs; Hindus; Stress; Adulthood (18 yrs &amp; older); Male; Female</t>
  </si>
  <si>
    <t>After years in Nepali refugee camps, over 100,000 Bhutanese refugees are being resettled around the world by the United Nations High Commissioner for Refugees (UNHCR). This study examines the relationship between religious coping and acculturation stress among newly-resettled Hindu Bhutanese refugees in the United States (US), the projected home of most Bhutanese refugees. (PsycINFO Database Record (c) 2016 APA, all rights reserved)</t>
  </si>
  <si>
    <t>http://search.ebscohost.com.proxy-ub.rug.nl/login.aspx?direct=true&amp;db=psyh&amp;AN=2012-17281-007&amp;site=ehost-live&amp;scope=site</t>
  </si>
  <si>
    <t>Reporting more but moving less? The complex relationship between acculturation and physical activity among US adults.</t>
  </si>
  <si>
    <t>Zan, Hua; Fan, Jessie X.</t>
  </si>
  <si>
    <t>2018-03651-025</t>
  </si>
  <si>
    <t>10.1177/0890117117716415</t>
  </si>
  <si>
    <t>Acculturation; Physical Activity; Self-Report; Adulthood (18 yrs &amp; older); Male; Female</t>
  </si>
  <si>
    <t>Purpose: To investigate the association between acculturation and physical activity (PA). Design: Cross sectional. Setting: The National Health and Nutrition Examination Surveys (NHANES) 2003 to 2006. Subjects: A total of 4029 adults (aged 20-64), including 2063 men and 1966 women. Measures: The outcome measures included both self-reported PA and device-assessed PA. The acculturation measure was constructed based on nativity, language use at home, and length of residence in the United States. Analysis: Regressions with domain analysis were conducted to adjust for the influence of confounding factors and complex survey design. Results: For men, self-reported PA increased with acculturation, especially leisure-time PA. However, device-assessed PA decreased with acculturation. For women, the results were more mixed. Conclusion: All evidence considered, we concluded that PA decreased with acculturation for US men. (PsycINFO Database Record (c) 2018 APA, all rights reserved)</t>
  </si>
  <si>
    <t>http://search.ebscohost.com.proxy-ub.rug.nl/login.aspx?direct=true&amp;db=psyh&amp;AN=2018-03651-025&amp;site=ehost-live&amp;scope=site</t>
  </si>
  <si>
    <t>Reproductive health of the rapidly growing Hispanic population: Data from the pregnancy risk assessment monitoring system, 2002.</t>
  </si>
  <si>
    <t>McDonald, Jill A.; Suellentrop, Katherine; Paulozzi, Leonard J.; Morrow, Brian</t>
  </si>
  <si>
    <t>2008-06357-008</t>
  </si>
  <si>
    <t>10.1007/s10995-007-0244-x</t>
  </si>
  <si>
    <t>Birth; Health Behavior; Pregnancy; Sexual Reproduction; Latinos/Latinas; Mothers; Risk Assessment; Reproductive Health; Adolescence (13-17 yrs); Adulthood (18 yrs &amp; older); Young Adulthood (18-29 yrs); Female</t>
  </si>
  <si>
    <t>Objectives: One in five US babies are Hispanic, and many Hispanics are recent immigrants. This study's goal is to compare reproductive health characteristics between Hispanic and non-Hispanic White (NHW) mothers and to determine whether those characteristics differ by Hispanic birth increases. Methods: State-based Pregnancy Risk Assessment Monitoring System 2002 data were used to compare Hispanic and NHW mothers of live-born infants overall and in tertiles of states with the highest and lowest Hispanic birth increases during 1998-2002. We calculated crude and adjusted risk ratios (RR) for each characteristic for Hispanics (N = 5,104) relative to NHWs (N = 22,608) and conducted t-tests to compare the RRs in high and low tertile groups. Results: Hispanic mothers are younger, of lower socioeconomic status, and less likely to receive early prenatal care. They smoke and drink less, breastfeed their infants more often, and report less preterm labor and hypertension during pregnancy, but may be at greater risk of gestational diabetes. When compared to states with smallest birth increases, Hispanics in states with the largest increases are more likely than NHWs to report healthy behavior, e.g., continued breastfeeding and normal BMI. However, they are more likely to report late prenatal care, hospitalization during pregnancy, and low socioeconomic status. A lower risk of hypertension is reported only by Hispanics in states with small birth increases. Conclusions: Reproductive health characteristics among Hispanic and NHW women differ, but Hispanic women more closely resemble NHW women in states with small increases in Hispanic births. Percent increase in Hispanic births may be a useful measure for states planning future program needs among Hispanic women and infants. (PsycINFO Database Record (c) 2016 APA, all rights reserved)</t>
  </si>
  <si>
    <t>http://search.ebscohost.com.proxy-ub.rug.nl/login.aspx?direct=true&amp;db=psyh&amp;AN=2008-06357-008&amp;site=ehost-live&amp;scope=site</t>
  </si>
  <si>
    <t>Research note: The development of an Arabic cross-cultural adjustment scale.</t>
  </si>
  <si>
    <t>Al-Rajhi, Ibrahim; Bartlett, Dean; Altman, Yochanan</t>
  </si>
  <si>
    <t>Cross Cultural Management</t>
  </si>
  <si>
    <t>2013-25598-007</t>
  </si>
  <si>
    <t>10.1108/CCM-12-2011-0120</t>
  </si>
  <si>
    <t>Adjustment; Arabs; Cross Cultural Differences; Psychometrics; Test Construction; Foreign Language Translation; Test Reliability; Test Validity; Adulthood (18 yrs &amp; older); Thirties (30-39 yrs); Middle Age (40-64 yrs); Male</t>
  </si>
  <si>
    <t>Purpose: The purpose of this paper is to report on the development of an Arabic language scale for measuring cross-cultural adjustment in the Arab world, predominately the Middle East. It also comments on aspects of psychometric tools and their appropriateness for use in cross-cultural management research. Design/methodology/approach: Black and Stephen’s Cross-Cultural Adjustment Scale was translated into Arabic using the method of back-translation and a pilot item-by-item debriefing. It was then administered to 111 Arabic-speaking employees of a single firm. Findings: The Arabic language version yielded high alpha coefficients and a subsequent factor analysis revealed three primary factors of cross-cultural adjustment, namely, Work Adjustment, Interaction Adjustment and General Adjustment, which corresponded closely to the original English version of the scale, with two minor exceptions. Research limitations/implications: The research is confined to the cultural-linguistic context in which it was executed. Practical implications: The findings suggest that an Arabic version of the three-factor scale is useful for measuring adjustment in Arabic-speaking samples and implies the wider generalizability of the cross-cultural adjustment construct. The development of this scale in an important region for migrant labor is highly relevant to practice. Originality/value: An Arabic version of the most widely used cross-cultural adjustment scale is of value to researchers and practitioners. The Muslim sample drawn from the Middle East region also makes the paper highly original. (PsycINFO Database Record (c) 2017 APA, all rights reserved)</t>
  </si>
  <si>
    <t>http://search.ebscohost.com.proxy-ub.rug.nl/login.aspx?direct=true&amp;db=psyh&amp;AN=2013-25598-007&amp;site=ehost-live&amp;scope=site</t>
  </si>
  <si>
    <t>Residency in the United States, Subjective Well-Being, and Depression in an Older Mexican-Origin Sample.</t>
  </si>
  <si>
    <t>Cuellar, Israel; Bastida, Elena; Braccio, Sara Maria</t>
  </si>
  <si>
    <t>2004-16823-001</t>
  </si>
  <si>
    <t>10.1177/0898264304265764</t>
  </si>
  <si>
    <t>Immigration; Mental Health; Mexican Americans; Well Being; Cross Cultural Differences; Adulthood (18 yrs &amp; older); Middle Age (40-64 yrs); Aged (65 yrs &amp; older); Very Old (85 yrs &amp; older); Male; Female</t>
  </si>
  <si>
    <t>Objective: To compare the mental health and well-being of Mexican immigrants with native-born Mexican Americans living in the Lower Rio Grande Valley of Texas. Methods: A randomly stratified sample of 353 Hispanics aged 45 and older were interviewed. The immigrant group (n = 148) was compared with native-born Mexican Americans (n = 205). Results: The findings showed that the native-born group was not significantly different from the immigrant group on measures of depression, health status, life satisfaction, or self-esteem. The immigrant group was found to report significantly more stress than the Mexican American group. Income, age, gender, and acculturation were significant predictors of well-being, whereas immigration status and years of residency were not. Discussion: The well-being of Mexican immigrants in the United States is confounded by such variables as income, age, gender, and acculturation, along with various other contextual factors that characterize their life experiences in the United States. (PsycINFO Database Record (c) 2016 APA, all rights reserved)</t>
  </si>
  <si>
    <t>http://search.ebscohost.com.proxy-ub.rug.nl/login.aspx?direct=true&amp;db=psyh&amp;AN=2004-16823-001&amp;site=ehost-live&amp;scope=site</t>
  </si>
  <si>
    <t>Rethinking acculturation: A study of alcohol use of Korean American adolescents in Southern California.</t>
  </si>
  <si>
    <t>Cook, Won Kim; Hofstetter, C. Richard; Kang, Michelle; Hovell, Melbourne F.; Irvin, Veronica</t>
  </si>
  <si>
    <t>Contemporary Drug Problems: An Interdisciplinary Quarterly</t>
  </si>
  <si>
    <t>2009-23952-010</t>
  </si>
  <si>
    <t>10.1177/009145090903600111</t>
  </si>
  <si>
    <t>Federal Legal Communications</t>
  </si>
  <si>
    <t>Acculturation; Alcohol Drinking Patterns; Immigration; Income Level; Psychosocial Factors; Adolescent Development; Korean Cultural Groups; Childhood (birth-12 yrs); School Age (6-12 yrs); Adolescence (13-17 yrs); Adulthood (18 yrs &amp; older); Young Adulthood (18-29 yrs); Male; Female</t>
  </si>
  <si>
    <t>Given the considerable variability in drinking practices among Asian American groups, the generalizations that suggest an increase in their alcohol use associated with acculturation need to be questioned. Also, the experience of children of immigrants growing up in the United States may be much more complex than a focus on acculturation can capture. Informed by the theory of segmented assimilation, this study addresses two research questions: (1) Is acculturation associated with alcohol use of Korean American adolescents? and (2) What other social, economic, and cultural forces influence their alcohol use? Survey data were collected from 202 adolescents of Korean descent. Multivariate regression analyses revealed that acculturation was not a significant predictor of most measures of alcohol use, while peer influence, scholastic achievement/aspirations, and current smoking were predictive. Gender and social class were unrelated to drinking. Findings suggest focusing research on an integrative approach to understanding drinking in complex social, economic, and social contexts may be useful. (PsycINFO Database Record (c) 2016 APA, all rights reserved)</t>
  </si>
  <si>
    <t>http://search.ebscohost.com.proxy-ub.rug.nl/login.aspx?direct=true&amp;db=psyh&amp;AN=2009-23952-010&amp;site=ehost-live&amp;scope=site</t>
  </si>
  <si>
    <t>Revisiting the immigrant paradox in reproductive health: The roles of duration of residence and ethnicity.</t>
  </si>
  <si>
    <t>Urquia, Marcelo L.; O'Campo, Patricia J.; Heaman, Maureen I.</t>
  </si>
  <si>
    <t>2012-10154-019</t>
  </si>
  <si>
    <t>10.1016/j.socscimed.2012.02.013</t>
  </si>
  <si>
    <t>Ethnic Identity; Immigration; Risk Factors; Pregnancy Outcomes; Reproductive Health; Health Disparities; Adolescence (13-17 yrs); Adulthood (18 yrs &amp; older); Young Adulthood (18-29 yrs); Thirties (30-39 yrs); Male; Female</t>
  </si>
  <si>
    <t>The immigrant paradox refers to the contrasting observations that immigrants usually experience similar or better health outcomes than the native-born population despite socioeconomic disadvantage and barriers to health care use. This paradox, however, has not been examined simultaneously in relation to varying degrees of exposure to the receiving society and across multiple outcomes and risk factors. To advance knowledge on these issues, we analysed data of the Maternity Experiences Survey, a nationally representative cross-sectional survey of 6421 Canadian women who delivered singleton infants in 2006-07. We compared the prevalence of adverse pregnancy outcomes and related risk factors according to women’s ethnicity and time since migration to Canada. We calculated prevalences and prevalence ratios (PR) with 95% confidence intervals. Compared to Canadian-born women of European descent, recent immigrants were at lower risk of preterm delivery and morbidity during pregnancy despite having the highest prevalence of low income and low support during pregnancy among all groups, but the paradox was not observed among immigrants with a longer stay in Canada. In contrast, recent immigrants were at higher risk of postpartum depression. Immigrants of non-European origin also had higher prevalence of postpartum depression, irrespective of their length of residence in Canada, but immigrants from European-origin countries did not. Exposure to Canada was also positively associated with higher alcohol and tobacco consumption and body mass index. Canadian-born women of non-European descent were at higher risk of preterm birth and hospitalisation during pregnancy than their European-origin counterparts. Our findings suggest that the healthy migrant hypothesis and the immigrant paradox have limited generalisability. These hypotheses may be better conceptualised as outcome-specific and dependent on immigrants’ ethnicity and length of stay in the receiving country. (PsycINFO Database Record (c) 2016 APA, all rights reserved)</t>
  </si>
  <si>
    <t>http://search.ebscohost.com.proxy-ub.rug.nl/login.aspx?direct=true&amp;db=psyh&amp;AN=2012-10154-019&amp;site=ehost-live&amp;scope=site</t>
  </si>
  <si>
    <t>Reward allocation preferences among Armenian immigrants in the United States: The role of acculturation type and workgroup ethnic composition.</t>
  </si>
  <si>
    <t>Kassabian, Ani</t>
  </si>
  <si>
    <t>2003-95016-070</t>
  </si>
  <si>
    <t>Acculturation; Immigration; Reward Allocation</t>
  </si>
  <si>
    <t>The focus of this study was to examine the relationship between the acculturation processes of Armenian immigrants living in Southern California and their preferences for reward allocations, particularly in work settings representing different workgroup ethnic compositions. This project was an effort to expand our understanding of the impact of acculturation in the workplace and on workplace practices, particularly on the rapidly growing number of diversity programs. A sample of 150 Armenian immigrants (8 Assimilated, 32 Separated, and 109 Bicultural Armenians) living in the United States of America participated in this study. The participants completed a series of questionnaires including: (1) a reward allocation questionnaire which measured reward distribution preferences, (2) the Pan-Acculturation Scale (Soriano, 1999) which identified participants' acculturation type, (3) the Values Scale (Singelis et al., 1995) which assessed the participants' cultural patterns in terms of vertical and horizontal individualism and collectivism, (4) the Group Characteristics Questionnaire (Ferdman &amp; Horenczyk, 2000) which determined the strength of ethnic identity with respect to the Armenian and American cultures, and (5) a demographic questionnaire. The hypotheses concerning participants' choice of equity-based or equality-based allocation style varying based on acculturation type was not supported. Essentially, Assimilated, Separated, and Bicultural Armenian immigrants did not demonstrate a significant difference in preferences for reward allocations. The hypotheses concerning the interaction between type of acculturation and workgroup ethnic composition in preferences for reward allocations was also not supported in that Bicultural Armenian immigrants did not differ in their reward allocation preferences based on the workgroup ethnic composition. An unexpected finding in the data set was that Separated and Bicultural respondents preferred the Horizontal Individualism (HI) cultural pattern whereas the Assimilated respondents preferred the Horizontal Collectivism (HC) cultural pattern. The results of this empirical research show preliminary evidence of within-group differences among Armenian immigrants. The results demonstrated that the Vertical Individualism cultural value is significantly related to preferences for equity over equality (r = .31, p &lt; .000). This is an important contribution to cross-cultural psychological literature in that it establishes a connection between cultural values and preferences in reward allocations. In addition, this finding is an important one for employers to take note of. In order to maximize motivating factors, employers must ensure that the rewards will lead to the desired results. To this end, employers must be open to researching and identifying what motivates their employees by diversifying the types of rewards and the manners in which they are distributed. (PsycINFO Database Record (c) 2016 APA, all rights reserved)</t>
  </si>
  <si>
    <t>http://search.ebscohost.com.proxy-ub.rug.nl/login.aspx?direct=true&amp;db=psyh&amp;AN=2003-95016-070&amp;site=ehost-live&amp;scope=site</t>
  </si>
  <si>
    <t>Risk groups for overweight and obesity among Turkish and Moroccan migrants in the Netherlands.</t>
  </si>
  <si>
    <t>Dijkshoorn, H.; Nierkens, V.; Nicolaou, M.</t>
  </si>
  <si>
    <t>Public Health</t>
  </si>
  <si>
    <t>2009-02375-006</t>
  </si>
  <si>
    <t>10.1016/j.puhe.2007.08.016</t>
  </si>
  <si>
    <t>Acculturation; Demographic Characteristics; Overweight; Prevention; Sociocultural Factors; At Risk Populations; Immigration; Obesity; Adulthood (18 yrs &amp; older); Thirties (30-39 yrs); Middle Age (40-64 yrs); Aged (65 yrs &amp; older); Male; Female</t>
  </si>
  <si>
    <t>Objectives: The association between sociodemographic factors and acculturation with overweight/obesity in Turks and Moroccans was studied to identify target groups for prevention. Study design: A cross-sectional study was undertaken among a sample of 1384 Turks and Moroccans aged 35–74 years in Amsterdam, The Netherlands. Methods: Data were collected by structured face-to-face interviews. Body mass index (BMI) was calculated from self-reported height and weight data. Sociodemographic variables collected were sex, age, educational level, marital status, parity and income level. Acculturation was measured by cultural orientation and length of residence in The Netherlands. Data of 1095 Turks and Moroccans were analysed using logistic regression, with overweight/obesity (BMI 25.0) as the dependent variable. Results: The prevalence of overweight/obesity was high (57–89%). Age, marital status, parity, income level, cultural orientation and length of residence were not associated or only weakly associated with overweight/obesity. Educational level and overweight/obesity were strongly associated in Turkish women (odds ratio 4.56; 95% confidence intervals 1.54–13.51). Conclusions: The high prevalence of overweight/obesity in Turkish and Moroccan migrants varies little across sociodemographic groups and is not associated with acculturation. Poorly educated Turkish women are at particularly high risk. (PsycInfo Database Record (c) 2020 APA, all rights reserved)</t>
  </si>
  <si>
    <t>http://search.ebscohost.com.proxy-ub.rug.nl/login.aspx?direct=true&amp;db=psyh&amp;AN=2009-02375-006&amp;site=ehost-live&amp;scope=site</t>
  </si>
  <si>
    <t>Risk perception and beliefs regarding HIV infection among Ethiopian immigrants.</t>
  </si>
  <si>
    <t>Mitha, Kiran; Yirsalign, Mariamawit; Cherner, Mariana; McCutchan, Allen; Langford, T. Dianne</t>
  </si>
  <si>
    <t>2013-17672-007</t>
  </si>
  <si>
    <t>10.1521/aeap.2009.21.5.484</t>
  </si>
  <si>
    <t>AIDS (Attitudes Toward); HIV; Immigration; Risk Perception; Acculturation; Adulthood (18 yrs &amp; older); Male; Female</t>
  </si>
  <si>
    <t>In Ethiopia, approximately 7.5% of the urban population is HIV-positive, and countrywide 1.5 million people are living with HIV. Between 1990 and 2000, immigration into the United States by African-born immigrants increased by 130%. Of this immigrant population, individuals from Ethiopia make up a significant portion. Although there is a rich literature addressing the beliefs regarding HIV and risk perception among some immigrant populations in the United States, few studies target Ethiopian-born residents. Thus, a survey-based study addressing demographics, acculturation, awareness, beliefs and risk perception, attitudes toward susceptibility for infection, and risk behaviors targeted Ethiopian-born residents of San Diego, California. Results indicate a separation between understanding of HIV transmission and personal risk perception for infection in a young, highly educated, predominantly male participant pool. As an initial study of HIV beliefs and risk perception in the immigrant Ethiopian population, our results provide information on specific areas warranting further investigation. (PsycINFO Database Record (c) 2016 APA, all rights reserved)</t>
  </si>
  <si>
    <t>http://search.ebscohost.com.proxy-ub.rug.nl/login.aspx?direct=true&amp;db=psyh&amp;AN=2013-17672-007&amp;site=ehost-live&amp;scope=site</t>
  </si>
  <si>
    <t>Role of acculturation on oral contraceptive use among Korean immigrant women.</t>
  </si>
  <si>
    <t>Lee, Jongwon</t>
  </si>
  <si>
    <t>2007-99220-356</t>
  </si>
  <si>
    <t>Acculturation; Human Females; Immigration; Oral Contraceptives; Female</t>
  </si>
  <si>
    <t>The current dissertation study was formatted as a manuscript style and consisted of three unified, journal-ready manuscripts. Manuscript I and II correspond to a systematic review of the literature on attitudes toward oral contraceptive (OC) use among women of reproductive age and the relationship of acculturation with contraceptive use patterns among immigrants, respectively. Manuscript III corresponds to the main dissertation study that was conducted to explore the role of acculturation on OC use among Korean immigrant women. It was specifically aimed to explore the effect of acculturation on attitudes, subjective norms, and intention, with regard to OC use in this population. For the most part, manuscript III presents the methodology of this empirical dissertation study, including the design and methods, statistical analysis, and findings. The Theory of Reasoned Action (TRA; Ajzen &amp; Fishbein, 1980), incorporated with the concept of acculturation, provided the theoretical framework for this study. A random sample of 146 Korean immigrant women was selected from the five boroughs (Queens, Manhattan, Brooklyn, the Bronx, and Staten Island) of the City of New York, based on Korean surname-based telephone lists. Data were collected using a telephone survey interview from September 2006 to February 2007. Participants were asked to respond to demographic and OC use history questionnaires, Suinn-Lew Asian Self-Identify Acculturation Scale (SL-ASIA: Suinn, Rickard-Figueroa, Lew, &amp; Vigil, 1987), and Lee's Oral Contraceptive Use Scale (LOCUS) with five subscales. Pearson correlations, multiple regressions, and hierarchical regression analyses were conducted to evaluate the hypotheses formulated by a modified version of the TRA model. In general, participants reported low to moderate levels of acculturation. Their attitudes toward OC use were slightly positive, whereas normative pressure and intention to use OCs tended to be negative. The results of analysis revealed that acculturation explained some of the variance in attitudes, subjective norms, and intention to use OCs. Women who were moderately acculturated, as opposed to those who were low acculturated, tended to believe that OC use would lead to positive outcomes and evaluated positively the act of using OCs. In turn, these women held a more favorable attitude toward OC use. In addition, the more acculturated women were, the more likely they were to perceive social pressure to and intend to use OCs. Nevertheless, the findings should be carefully interpreted in that only small portions (i.e., 3-6%) of the variances in attitudes, subjective norms, and intention were accounted for by acculturation. This might be due to the low variability in acculturation scores (1.7 to 3.5) obtained in this study. To capture the full scope of acculturation on OC use, future studies must include participants with a broader range of acculturation, including Korean American whose acculturation levels differ substantially from immigrants'. (PsycINFO Database Record (c) 2016 APA, all rights reserved)</t>
  </si>
  <si>
    <t>http://search.ebscohost.com.proxy-ub.rug.nl/login.aspx?direct=true&amp;db=psyh&amp;AN=2007-99220-356&amp;site=ehost-live&amp;scope=site</t>
  </si>
  <si>
    <t>Rooting mediates the effect of stress by acculturation on the psychological well-being of immigrants living in Chile.</t>
  </si>
  <si>
    <t>Urzúa, Alfonso; Leiva-Gutiérrez, José; Caqueo-Urízar, Alejandra; Vera-Villarroel, Pablo</t>
  </si>
  <si>
    <t>2019-48250-001</t>
  </si>
  <si>
    <t>10.1371/journal.pone.0219485</t>
  </si>
  <si>
    <t>Acculturation; Immigration; Protective Factors; Stress; Well Being; Human Migration; Society; Autonomy; Adulthood (18 yrs &amp; older); Male; Female</t>
  </si>
  <si>
    <t>Migration is a social phenomenon that has an impact both on the lives of the people who migrate, and on the societies who receive them; with psychological well-being being one of the most affected variables. The objective of this research is to analyze the possible mediating role of rooting in the host location on the negative effect that acculturation stress has on the level of well-being. Data for this study were collected using 699 Colombian and Peruvian immigrants who have been permanently residing in Chile for more than six months. Participants were assessed by using Riff’s Psychological Well-being Scale, rooting of Torrente et al., and Ruiz et al. scales of stress. The results demonstrated the mediating role of settling down within the host country in relation to stress and psychological well-being, except for the sub-dimension of autonomy. It is concluded that the need for rooting in the host country is a protective factor against the negative effects of stress on perceived well-being. (PsycInfo Database Record (c) 2020 APA, all rights reserved)</t>
  </si>
  <si>
    <t>http://search.ebscohost.com.proxy-ub.rug.nl/login.aspx?direct=true&amp;db=psyh&amp;AN=2019-48250-001&amp;site=ehost-live&amp;scope=site</t>
  </si>
  <si>
    <t>Rules of engagement: Predictors of Black Caribbean immigrants’ engagement with African American culture.</t>
  </si>
  <si>
    <t>Joseph, Nancy; Watson, Natalie N.; Wang, Zhenni; Case, Andrew D.; Hunter, Carla D.</t>
  </si>
  <si>
    <t>2013-27665-001</t>
  </si>
  <si>
    <t>10.1037/a0032659</t>
  </si>
  <si>
    <t>Acculturation; Cross Cultural Differences; Racial and Ethnic Differences; Racial and Ethnic Relations; Blacks; Society; Stress; Adolescence (13-17 yrs); Adulthood (18 yrs &amp; older); Young Adulthood (18-29 yrs); Thirties (30-39 yrs); Middle Age (40-64 yrs); Male; Female</t>
  </si>
  <si>
    <t>The cultural context in the United States is racialized and influences Black Caribbean immigrants’ acculturation processes, but what role it plays in Black Caribbean immigrants’ acculturation into specific facets of American society (e.g., African American culture) has been understudied in the field of psychology. The present study extends research on Black Caribbean immigrants’ acculturative process by assessing how this group’s experience of the racial context (racial public regard, ethnic public regard, and cultural race-related stress) influences its engagement in African American culture (i.e., adoption of values and behavioral involvement). Data were collected from 93 Black participants of Caribbean descent, ranging in age from 13 to 45 and analyzed using a stepwise hierarchical regression. The findings highlighted that when Black Caribbean-descended participants perceived that the public held a favorable view of their racial group they were more likely to engage in African American culture. In contrast, when participants perceived that the public held a favorable view of their ethnic group (e.g., Haitian) they were less likely to engage in African American culture. Furthermore, among participants experiencing low levels of cultural race-related stress, the associations between racial public regard and engagement with African American culture were amplified. However, for participants experiencing high cultural race-related stress, their engagement in African American culture did not change as a function of racial public regard. These findings may suggest that, for Black Caribbean immigrants, the experience of the racial context influences strategies that serve to preserve or bolster their overall social status and psychological well-being in the United States. (PsycInfo Database Record (c) 2020 APA, all rights reserved)</t>
  </si>
  <si>
    <t>http://search.ebscohost.com.proxy-ub.rug.nl/login.aspx?direct=true&amp;db=psyh&amp;AN=2013-27665-001&amp;site=ehost-live&amp;scope=site</t>
  </si>
  <si>
    <t>Rural and urban married Asian immigrants in Taiwan: Determinants of their physical and mental health.</t>
  </si>
  <si>
    <t>Chen, Walter; Shiao, Wen-Been; Lin, Blossom Yen-Ju; Lin, Cheng-Chieh</t>
  </si>
  <si>
    <t>2013-39701-005</t>
  </si>
  <si>
    <t>10.1007/s10903-012-9750-z</t>
  </si>
  <si>
    <t>Asians; Health Behavior; Immigration; Mental Health; Health Disparities; Acculturation; Family Structure; Marriage; Rural Environments; Social Support; Socioeconomic Status; Urban Environments; Adulthood (18 yrs &amp; older); Male; Female</t>
  </si>
  <si>
    <t>Different geographical areas with unique social cultures or societies might influence immigrant health. This study examines whether health inequities and different social factors exist regarding the health of rural and urban married Asian immigrants. A survey was conducted on 419 rural and 582 urban married Asian immigrants in Taiwan in 2009. Whereas the descriptive results indicate a worse mental health status between rural and urban married Asian immigrants, rural married immigrants were as mentally healthy as urban ones when considering different social variables. An analysis of regional stratification found different social-determinant patterns on rural and urban married immigrants. Whereas social support is key for rural immigrant physical and mental health, acculturation (i.e., language proficiency), socioeconomics (i.e., working status), and family structure (the number of family members and children living in the family) are key to the mental health of urban married immigrants in addition to social support. This study verifies the key roles of social determinants on the subjective health of married Asian immigrants. Area-differential patterns on immigrant health might act as a reference for national authorities to (re)focus their attention toward more area-specific approaches for married Asian immigrants. (PsycINFO Database Record (c) 2016 APA, all rights reserved)</t>
  </si>
  <si>
    <t>http://search.ebscohost.com.proxy-ub.rug.nl/login.aspx?direct=true&amp;db=psyh&amp;AN=2013-39701-005&amp;site=ehost-live&amp;scope=site</t>
  </si>
  <si>
    <t>Rural-to-urban migration: Socioeconomic status but not acculturation was associated with overweight/obesity risk.</t>
  </si>
  <si>
    <t>Hilmers, Angela; Bernabé-Ortiz, Antonio; Gilman, Robert H.; McDermott, Ann Y.; Smeeth, Liam; Miranda, J. Jaime</t>
  </si>
  <si>
    <t>2016-23492-018</t>
  </si>
  <si>
    <t>10.1007/s10903-015-0234-9</t>
  </si>
  <si>
    <t>Human Migration; Obesity; Physical Activity; Risk Factors; Adulthood (18 yrs &amp; older); Male; Female</t>
  </si>
  <si>
    <t>To investigate whether socioeconomic status (SES) and acculturation predict overweight/obesity risk as well as the mediating effect of physical activity (PA) in the context of internal migration. Cross-sectional study of 587 rural-to-urban migrants participating in the PERU MIGRANT study. Analyses were conducted using logistic regression and structured equation modeling. Interaction effects of SES and acculturation were tested. Models were controlled for age, gender and education. Only SES was a significant predictor of overweight/obesity risk. Lower SES decreased the odds of being overweight/obese by 51.4 %. This association did not vary by gender nor was it explained by PA. Mechanisms underlying the relationship between SES and overweight/obesity may differ depending on the geographic location and sociocultural context of the population studied. Research on internal migration and health would benefit from the development of tailored acculturation measures and the evaluation of exploratory models that include diet. (PsycINFO Database Record (c) 2019 APA, all rights reserved)</t>
  </si>
  <si>
    <t>http://search.ebscohost.com.proxy-ub.rug.nl/login.aspx?direct=true&amp;db=psyh&amp;AN=2016-23492-018&amp;site=ehost-live&amp;scope=site</t>
  </si>
  <si>
    <t>School achievement and well-being of immigrant children: The role of acculturation orientations and perceived discrimination.</t>
  </si>
  <si>
    <t>Guerra, Rita; Rodrigues, Ricardo Borges; Aguiar, Cecília; Carmona, Margarida; Alexandre, Joana; Lopes, Rui Costa</t>
  </si>
  <si>
    <t>2019-42586-001</t>
  </si>
  <si>
    <t>10.1016/j.jsp.2019.07.004</t>
  </si>
  <si>
    <t>Academic Achievement; Acculturation; Discrimination; Immigration; Well Being; Student Attitudes; Student Characteristics; Childhood (birth-12 yrs); School Age (6-12 yrs); Male; Female</t>
  </si>
  <si>
    <t>This survey study examined the role of perceived discrimination and acculturation orientations on immigrant children's achievement and well-being in the school context. Immigrant (n = 229), immigrant descendant (n = 196), and native Portuguese children (n = 168) from 4th to 6th grade participated in the study. Results showed the expected gap: immigrant and immigrant descendant children revealed lower school achievement than their native peers; but only immigrant, and not immigrant descendant children, reported lower levels of well-being and peer acceptance. Perceived discrimination was negatively related to school achievement, via an increased desire for culture maintenance, only among immigrant children. The indirect effects of perceived discrimination on well-being and peer acceptance were not significant. However, perceived discrimination was strongly related to lower well-being and acceptance, independently of the target group, suggesting that its negative association with well-being in the school context might encompass a more general process affecting both immigrant and immigrant descendant children. (PsycInfo Database Record (c) 2020 APA, all rights reserved)</t>
  </si>
  <si>
    <t>http://search.ebscohost.com.proxy-ub.rug.nl/login.aspx?direct=true&amp;db=psyh&amp;AN=2019-42586-001&amp;site=ehost-live&amp;scope=site</t>
  </si>
  <si>
    <t>School adjustment of children from rural migrant families in urban China.</t>
  </si>
  <si>
    <t>Chen, Xinyin; Li, Dan; Xu, Xinpei; Liu, Junsheng; Fu, Rui; Cui, Liying; Liu, Shihong</t>
  </si>
  <si>
    <t>2019-11455-003</t>
  </si>
  <si>
    <t>10.1016/j.jsp.2018.12.003</t>
  </si>
  <si>
    <t>Human Migration; Rural Environments; School Adjustment; Urban Environments; Elementary School Students; Family Relations; Grading (Educational); Test Construction; Childhood (birth-12 yrs); School Age (6-12 yrs); Male; Female</t>
  </si>
  <si>
    <t>The purpose of this study was to examine school adjustment of rural-to-urban migrant children and its relations with acculturation in China. Migrant children were those whose official hukou status was in a rural region outside the city. Data were collected for 1175 students (M age = 11 years) in urban public schools from multiple sources including peer evaluations, teacher ratings, self-reports, and school records. The results showed that migrant students performed more competently than urban non-migrant students in social and academic areas. Migrant students displayed better psychological adjustment than non-migrant students in higher grades, but not in lower grades. Among migrant students, those with higher scores on accommodation to urban culture and maintenance of rural culture tended to be better adjusted. These results indicate the implications of migration and change in life circumstances for children's school functioning in social, academic, and psychological domains. (PsycINFO Database Record (c) 2019 APA, all rights reserved)</t>
  </si>
  <si>
    <t>http://search.ebscohost.com.proxy-ub.rug.nl/login.aspx?direct=true&amp;db=psyh&amp;AN=2019-11455-003&amp;site=ehost-live&amp;scope=site</t>
  </si>
  <si>
    <t>School climate, discrimination, and depressive symptoms among Asian American adolescents.</t>
  </si>
  <si>
    <t>Wang, Cixin; Atwal, Kavita</t>
  </si>
  <si>
    <t>Contemporary School Psychology</t>
  </si>
  <si>
    <t>2016-24255-012</t>
  </si>
  <si>
    <t>10.1007/s40688-014-0040-8</t>
  </si>
  <si>
    <t>Academic Environment; Academic Specialization; Asians; Race and Ethnic Discrimination; School Environment; Acculturation; Childhood (birth-12 yrs); School Age (6-12 yrs); Adolescence (13-17 yrs); Male; Female</t>
  </si>
  <si>
    <t>The current study examined a multidimensional, developmental, and transactional model for depressive symptoms among Asian American adolescents using longitudinal data from 1,664 Asian American adolescents in the Children of Immigrants Longitudinal Study (CILS). Specifically, the relationships among school climate, acculturation, perceived discrimination, and depressive symptoms among Asian American adolescents were examined. Results showed that Asian American adolescents perceived more discrimination over time. Acculturation to American culture, as indicated by English language abilities, predicted more perceived discrimination at time 1, but not at time 2. Perceived discrimination predicted depressive symptoms at each time point. Furthermore, perceived discrimination mediated the relationship between school climate variables and depressive symptoms at time 2 after controlling for previous level of discrimination and depressive symptoms. Boys perceived more discrimination, more negative school climate and negative peer interactions, and less positive school climate than girls. The importance of reducing discrimination at school, promoting positive school climate, and meeting the mental health needs of Asian American adolescents from immigrant families was discussed. (PsycINFO Database Record (c) 2016 APA, all rights reserved)</t>
  </si>
  <si>
    <t>http://search.ebscohost.com.proxy-ub.rug.nl/login.aspx?direct=true&amp;db=psyh&amp;AN=2016-24255-012&amp;site=ehost-live&amp;scope=site</t>
  </si>
  <si>
    <t>School ethnic composition and students' integration outside and inside schools in Belgium.</t>
  </si>
  <si>
    <t>Van Houtte, Mieke; Stevens, Peter A. J.</t>
  </si>
  <si>
    <t>Sociology of Education</t>
  </si>
  <si>
    <t>2009-12436-002</t>
  </si>
  <si>
    <t>10.1177/003804070908200302</t>
  </si>
  <si>
    <t>Immigration; Indigenous Populations; Schools; Social Integration; Racial and Ethnic Groups; Belonging; Adolescence (13-17 yrs); Adulthood (18 yrs &amp; older); Young Adulthood (18-29 yrs); Male; Female</t>
  </si>
  <si>
    <t>To advance social integration, policy makers strive for the educational desegregation of immigrant students in Flemish schools. Given the lack of empirical research supporting this policy, this article examines the association between the ethnic composition of schools and native and immigrant students' interethnic friendships, social participation, and sense of belonging in school. Blau's structural theory offers the theoretical rationale for these associations and the coherence of the three indicators. Multilevel analyses of data from a 2004-05 survey of 11,872 students, 1,324 of whom were immigrant students, in a sample of 85 Flemish secondary schools demonstrate that school ethnic composition is associated with interethnic friendships and social participation for native students, but not for immigrant students, whereas socioeconomic status is decisive for immigrant students' interethnic friendships. Neither immigrants' nor natives' sense of belonging in school is associated with ethnic composition. Hence, while the findings do not provide support for either school segregation or desegregation policies aimed at improving the social integration of immigrant students, mixing schools appears to have a positive influence on the social integration of Flemish youths. The consequences of these findings for future research and social policy are discussed in the conclusions. (PsycINFO Database Record (c) 2016 APA, all rights reserved)</t>
  </si>
  <si>
    <t>http://search.ebscohost.com.proxy-ub.rug.nl/login.aspx?direct=true&amp;db=psyh&amp;AN=2009-12436-002&amp;site=ehost-live&amp;scope=site</t>
  </si>
  <si>
    <t>Schools, demographic shift, and the new Latino diaspora: A statewide study of organizational adaptation.</t>
  </si>
  <si>
    <t>Lowenhaupt, Rebecca J.</t>
  </si>
  <si>
    <t>2011-99070-303</t>
  </si>
  <si>
    <t>Adaptation; Demographic Characteristics; Immigration; Schools; Latinos/Latinas; Adulthood (18 yrs &amp; older)</t>
  </si>
  <si>
    <t>Across the country, shifting immigration patterns are rapidly changing the demographics of schools with little recent tradition of educating immigrant students. Although emerging immigrant communities represent a widespread and significant national trend, little is known about the educational implications of this demographic shift. This study examines organizational adaptation in the context of emerging immigrant communities, with a particular focus on schools serving members of a New Latino Diaspora. This study addresses the following two research questions: 1) In communities experiencing a rapid increase in their Latino immigrant population, what practices constitute the school response? 2) How do environmental and organizational factors influence this process of organizational adaptation? While a growing body of education research offers case studies of schools serving members of the New Latino Diaspora, this study contributes a statewide perspective through an electronic survey of administrators and educators across the state of Wisconsin. This approach supports previously unexamined comparisons across contexts and analysis of policy implications for schools serving emerging immigrants. Specifically, data for analysis included school enrollment data from 1998 to 2008, approximately 110 principal and 150 teacher surveys, and state policy documents. Analysis included descriptive and inferential statistics, as well as textual analysis of comments. Areas of organizational adaptation discussed were human resources and professional capacity, the design and delivery of support services, and the social integration of immigrant students and their families. Findings suggest that some schools respond proactively, while others struggle to adapt. This study concludes with implications for policy, practice, and future research. (PsycINFO Database Record (c) 2016 APA, all rights reserved)</t>
  </si>
  <si>
    <t>http://search.ebscohost.com.proxy-ub.rug.nl/login.aspx?direct=true&amp;db=psyh&amp;AN=2011-99070-303&amp;site=ehost-live&amp;scope=site</t>
  </si>
  <si>
    <t>Screening for depression among indigenous Mexican migrant farmworkers using the Patient Health Questionnaire-9.</t>
  </si>
  <si>
    <t>Donlan, William; Lee, Junghee</t>
  </si>
  <si>
    <t>2010-10677-012</t>
  </si>
  <si>
    <t>10.2466/PR0.106.2.419-432</t>
  </si>
  <si>
    <t>Major Depression; Migrant Farm Workers; Screening; Emotional Health; Emotional Disturbances; Health; Mental Disorders; Psychometrics; Questionnaires; Test Reliability; Test Validity; Working Conditions; Adulthood (18 yrs &amp; older); Male; Female</t>
  </si>
  <si>
    <t>US farmworkers include growing numbers of individuals from indigenous, pre-Columbian communities in southern Mexico with distinctive languages and cultures. Given the high stress these farmworkers experience in their challenging work environments, they are very susceptible to depression and other mental and emotional health disorders. The present study explores the Spanish version of the Patient Health Questionnaire-9 (PHQ-9) as a screen for the presence and severity of depression among 123 indigenous Mexican-origin, migrant farmworkers in Oregon. Factor structure and inter-item correlations of the PHQ-9 are examined, along with associations between depression and culture-bound syndromes, self-esteem, self-efficacy, acculturation stress, and other sample psychosocial characteristics. The PHQ-9 exhibited strong factor loadings and internal consistency, and its severity score significantly correlated with other indicators of health status that were observed in previous studies to be significantly associated with depression. The PHQ-9 appears to be culturally relevant for use with Mexicans coming from a variety of indigenous cultures and having very low education and literacy. (PsycInfo Database Record (c) 2020 APA, all rights reserved)</t>
  </si>
  <si>
    <t>http://search.ebscohost.com.proxy-ub.rug.nl/login.aspx?direct=true&amp;db=psyh&amp;AN=2010-10677-012&amp;site=ehost-live&amp;scope=site</t>
  </si>
  <si>
    <t>Screening for posttraumatic stress disorder in young adult refugees from Syria and Iraq.</t>
  </si>
  <si>
    <t>Dietrich, Hans; Al Ali, Radwan; Tagay, Sefik; Hebebrand, Johannes; Reissner, Volker</t>
  </si>
  <si>
    <t>2019-14327-011</t>
  </si>
  <si>
    <t>10.1016/j.comppsych.2018.11.001</t>
  </si>
  <si>
    <t>Posttraumatic Stress Disorder; Refugees; Screening; Emerging Adulthood; Acculturation; Boundaries (Psychological); Employment Status; Test Construction; Adulthood (18 yrs &amp; older); Young Adulthood (18-29 yrs); Male; Female</t>
  </si>
  <si>
    <t>Introduction: In January 2016, 2057 refugees from civil war-torn Syria and Iraq, aged 18.0 to 24.9 years, were first-time entrants into the German unemployment register and thus potentially eligible for the labor market. Civil war and forced migration may affect individuals' mental health. Traumatic experiences in particular are assumed to represent a major barrier, e.g., to labor-market integration. This study aimed to screen the rates of posttraumatic stress disorder (PTSD). Former refugee studies have reported PTSD screening rates between 3% and 44%. Method: A total of 8.5% (N = 175 of 2057) of respondents were randomly interviewed either by telephone or web-based interviews. A total of 84 respondents (48% out of 175 respondents) were screened using the Essen Trauma Inventory (ETI) based on the DSM-IV, and 91 (52%) respondents used the Short Screening Scale for Posttraumatic Stress Disorder (SSS-PSD). All respondents were additionally questioned regarding psychological impairment (Symptom Checklist 10) and health status (Short Form 12). Results: Of the respondents, 59.4% reported at least one traumatic experience. The percentage of positive PTSD screenings obtained using the ETI was 9.5% (N = 84) and 6.6% (N = 91) using the SSS-PSD. The percentage of positive PTSD screenings obtained with both screening instruments was 8% (N = 175; 95%-CI: 3.9% to 12.1%). A total of 19.4% of the subjects were above the SCL-10 cut-off for psychiatric caseness. Discussion: The PTSD rate in this sample was in the average range compared to previous estimates from large samples of refugees. Psychiatric caseness was high. The results should be considered for planning labor-market integration programs and the design of supportive schemes. (PsycINFO Database Record (c) 2019 APA, all rights reserved)</t>
  </si>
  <si>
    <t>http://search.ebscohost.com.proxy-ub.rug.nl/login.aspx?direct=true&amp;db=psyh&amp;AN=2019-14327-011&amp;site=ehost-live&amp;scope=site</t>
  </si>
  <si>
    <t>Searching for evidence of acculturation: Attitudes toward homosexuality among migrants moving from Eastern to Western Europe.</t>
  </si>
  <si>
    <t>Fitzgerald, Rory; Winstone, Lizzy; Prestage, Yvette</t>
  </si>
  <si>
    <t>2014-38143-003</t>
  </si>
  <si>
    <t>10.1093/ijpor/edu021</t>
  </si>
  <si>
    <t>Acculturation; Homosexuality (Attitudes Toward); Human Migration; Male Homosexuality; Male; Female</t>
  </si>
  <si>
    <t>Attitudes toward gay men and lesbians are generally more tolerant in Western than in Eastern Europe. This study uses data from the first five rounds of the European Social Survey to examine acculturation among migrants moving from Eastern Europe to Western Europe, in terms of attitudes toward gay men and lesbians. After controlling for background factors associated with attitudes toward homosexuality, we find evidence of acculturation, whereby attitudes become more tolerant—and more typical of those prevalent in Western Europe—with longer residency in this region. This study builds on existing research into cross-national differences in attitudes toward homosexuality and extends the existing North American literature on acculturation to a European context. (PsycINFO Database Record (c) 2017 APA, all rights reserved)</t>
  </si>
  <si>
    <t>http://search.ebscohost.com.proxy-ub.rug.nl/login.aspx?direct=true&amp;db=psyh&amp;AN=2014-38143-003&amp;site=ehost-live&amp;scope=site</t>
  </si>
  <si>
    <t>Second language anxiety among Latino American immigrants in Australia.</t>
  </si>
  <si>
    <t>de Blakeley, Marta Garcia; Ford, Ruth; Casey, Leanne</t>
  </si>
  <si>
    <t>2017-40278-002</t>
  </si>
  <si>
    <t>10.1080/13670050.2015.1083533</t>
  </si>
  <si>
    <t>Bilingualism; Foreign Language Education; Immigration; Speech Anxiety; Adulthood (18 yrs &amp; older); Young Adulthood (18-29 yrs); Thirties (30-39 yrs); Middle Age (40-64 yrs); Aged (65 yrs &amp; older); Male; Female</t>
  </si>
  <si>
    <t>Research into second language anxiety (SLA) has largely focused on second language learners rather than immigrants. However, living in an environment where the target language (TL) is the language of everyday communication may constitute a significant source of anxiety that generalises beyond the language classroom [Pappamihiel, N. E. 2001. 'Moving from the ESL Classroom into the Mainstream: An Investigation of English Language Anxiety in Mexican Girls.' Bilingual Research Journal 25: 31–39. doi:10.1080/15235882.2001.10162783; Rose, Glenda. 2008. 'Language Acculturation Anxiety in Spanish Apeaking Adult Immigrants Learning English in the United States.' PhD diss., University of Texas. Available from ProQuest Dissertations and Theses database (UMI No. 3315370); Woodrow, L. 2006. 'Anxiety and Speaking English as a Second Language.' RELC Journal 37: 308–328. doi:10.1177/0033688206071315]. This study explored SLA across different social contexts in a sample of 190 adult immigrants from Latin America to Australia who spoke Spanish as their first language (L1) and English as their second language (L2). The aims were to (a) investigate the presence and severity of SLA among L2 long-term immigrants, and (b) examine sources of individual differences in SLA. Results indicated that SLA exists among L2 immigrants at moderate, high and very high levels, and that levels of anxiety vary significantly across social contexts. Self-perceived L2 proficiency was found to be the strongest predictor of SLA followed by extroversion and age, with higher scores on all three variables associated with lower SLA. Gender, education level, duration of residency in Australia, and emotional stability did not predict SLA in any of the contexts. These findings suggest that SLA is a significant problem for adult immigrants, permeating most aspects of their everyday lives. Practical implications and recommendations for future research are discussed. (PsycINFO Database Record (c) 2017 APA, all rights reserved)</t>
  </si>
  <si>
    <t>http://search.ebscohost.com.proxy-ub.rug.nl/login.aspx?direct=true&amp;db=psyh&amp;AN=2017-40278-002&amp;site=ehost-live&amp;scope=site</t>
  </si>
  <si>
    <t>Second language social networks and communication-related acculturative stress: The role of interconnectedness.</t>
  </si>
  <si>
    <t>Doucerain, Marina M.; Varnaamkhaasti, Raheleh S.; Segalowitz, Norman; Ryder, Andrew G.</t>
  </si>
  <si>
    <t>2015-41038-001</t>
  </si>
  <si>
    <t>10.3389/fpsyg.2015.01111</t>
  </si>
  <si>
    <t>Acculturation; Cross Cultural Communication; Foreign Language Learning; Social Adjustment; Social Stress; Social Networks; Adulthood (18 yrs &amp; older); Male; Female</t>
  </si>
  <si>
    <t>Although a substantial amount of cross-cultural psychology research has investigated acculturative stress in general, little attention has been devoted specifically to communication-related acculturative stress (CRAS). In line with the view that cross-cultural adaptation and second language (L2) learning are social and interpersonal phenomena, the present study examines the hypothesis that migrants’ L2 social network size and interconnectedness predict CRAS. The main idea underlying this hypothesis is that L2 social networks play an important role in fostering social and cultural aspects of communicative competence. Specifically, higher interconnectedness may reflect greater access to unmodified natural cultural representations and L2 communication practices, thus fostering communicative competence through observational learning. As such, structural aspects of migrants’ L2 social networks may be protective against acculturative stress arising from chronic communication difficulties. Results from a study of first generation migrant students (N = 100) support this idea by showing that both inclusiveness and density of the participants’ L2 network account for unique variance in CRAS but not in general acculturative stress. These results support the idea that research on cross-cultural adaptation would benefit from disentangling the various facets of acculturative stress and that the structure of migrants’ L2 network matters for language related outcomes. Finally, this study contributes to an emerging body of work that attempts to integrate cultural/cross-cultural research on acculturation and research on intercultural communication and second language learning. (PsycInfo Database Record (c) 2020 APA, all rights reserved)</t>
  </si>
  <si>
    <t>http://search.ebscohost.com.proxy-ub.rug.nl/login.aspx?direct=true&amp;db=psyh&amp;AN=2015-41038-001&amp;site=ehost-live&amp;scope=site</t>
  </si>
  <si>
    <t>Segmentation of Mexican-heritage immigrants: Acculturation typology and language preference in health information seeking.</t>
  </si>
  <si>
    <t>Shin, YoungJu; Maupome, Gerardo</t>
  </si>
  <si>
    <t>2017-38037-018</t>
  </si>
  <si>
    <t>10.1007/s10903-016-0401-7</t>
  </si>
  <si>
    <t>Acculturation; Health Care Psychology; Immigration; Information Seeking; Latent Class Analysis; Health Information; Adulthood (18 yrs &amp; older); Young Adulthood (18-29 yrs); Thirties (30-39 yrs); Middle Age (40-64 yrs); Aged (65 yrs &amp; older); Male; Female</t>
  </si>
  <si>
    <t>With the fast growing number of Mexican immigrants in the United States, more attention is needed to understand the relationship between acculturation and language preference in health information seeking. Latent class analysis provides one useful approach to understanding the diversity in sample of Mexican immigrants (N = 238). Based on 13 linguistic, psychological and behavioral indicators for acculturation, four discrete subgroups were characterized: (1) Less acculturated, (2) Moderately acculturated, (3) Highly acculturated, (4) Selectively bicultural. A Chi-square test revealed that three sub-groups were significantly different in language preference when seeking health information. Less acculturated and moderately acculturated groups sought health information in Spanish, whereas the highly acculturated group preferred English for health information. Selectively bicultural group preferred bilingual health information. Implications for health campaign strategies using audience segmentation are discussed. (PsycINFO Database Record (c) 2019 APA, all rights reserved)</t>
  </si>
  <si>
    <t>http://search.ebscohost.com.proxy-ub.rug.nl/login.aspx?direct=true&amp;db=psyh&amp;AN=2017-38037-018&amp;site=ehost-live&amp;scope=site</t>
  </si>
  <si>
    <t>Segmented assimilation, neighborhood disadvantage, and Hispanic immigrant health.</t>
  </si>
  <si>
    <t>Akresh, Ilana Redstone; Do, D. Phuong; Frank, Reanne</t>
  </si>
  <si>
    <t>2016-02719-012</t>
  </si>
  <si>
    <t>10.1016/j.socscimed.2015.12.013</t>
  </si>
  <si>
    <t>Acculturation; Disadvantaged; Health Care Psychology; Immigration; Latinos/Latinas; Neighborhoods; Overweight; Adulthood (18 yrs &amp; older); Male; Female</t>
  </si>
  <si>
    <t>We use a subset of Hispanics from the New Immigrant Survey, a nationally representative data set on immigrants recently granted legal permanent residency (n = 2245), to examine whether the relationship between assimilation and health is modified by neighborhood disadvantage and, in doing so, carry out an empirical test of the segmented assimilation hypothesis. Results indicate that assimilation in the least disadvantaged neighborhoods can be protective against poor health. Specifically, more assimilated men and women in the lowest disadvantage neighborhoods have a lower likelihood of self-reported poorer health and being overweight, respectively; no link was found in higher disadvantage neighborhoods. Assimilation was not found to be associated with self-reported health for women or BMI for men, regardless of neighborhood disadvantage level. Overall, we find some evidence supporting the hypothesis that the effects of assimilation on health depend on the context in which immigrants experience it. (PsycINFO Database Record (c) 2016 APA, all rights reserved)</t>
  </si>
  <si>
    <t>http://search.ebscohost.com.proxy-ub.rug.nl/login.aspx?direct=true&amp;db=psyh&amp;AN=2016-02719-012&amp;site=ehost-live&amp;scope=site</t>
  </si>
  <si>
    <t>Self- and family-conceptions of Turkish migrant, native German, and native Turkish children: A comparison of children's drawings.</t>
  </si>
  <si>
    <t>Gernhardt, Ariane; Rübeling, Hartmut; Keller, Heidi</t>
  </si>
  <si>
    <t>2014-22196-010</t>
  </si>
  <si>
    <t>10.1016/j.ijintrel.2013.12.005</t>
  </si>
  <si>
    <t>Drawing; Human Migration; Indigenous Populations; Preschool Students; Self-Concept; Childhood Development; Family; Sociocultural Factors; Childhood (birth-12 yrs); Preschool Age (2-5 yrs); Male; Female</t>
  </si>
  <si>
    <t>The aim of the present study was to investigate the cultural conception of self and family held by Turkish migrant preschool children in comparison with native German and native Turkish children by the assessment of self- and family-drawings. The final sample consisted of 40 Turkish migrant children, 56 German urban middle-class children, 47 German rural children, 61 Turkish urban middle-class children, and 21 Turkish rural children. The children of the five cultural milieus did not differ in age, gender distribution, or human figure drawing ability. Besides the drawings, the mothers’ sociocultural orientation was assessed, as well as migrant mothers’ involvement in the German and Turkish cultures. The results revealed similarities between Turkish migrant children's self- and family-depictions with those of children from their culture of origin, particularly in some categorical features such as gender-specific characteristics, torso type, and neighbors. On the other hand, however, the drawings differed from those of Turkish rural children in the size of the depicted self. These findings are in line with the specific ecocultural context and the cultural orientation of Turkish migrant families toward psychological autonomy and hierarchical relatedness. It can therefore be concluded that Turkish migrant children's drawings are influenced by both their culture of origin, probably mediated by their familial socialization, and their social experiences in Germany. (PsycINFO Database Record (c) 2016 APA, all rights reserved)</t>
  </si>
  <si>
    <t>http://search.ebscohost.com.proxy-ub.rug.nl/login.aspx?direct=true&amp;db=psyh&amp;AN=2014-22196-010&amp;site=ehost-live&amp;scope=site</t>
  </si>
  <si>
    <t>Self-assessments of health by Korean immigrant women.</t>
  </si>
  <si>
    <t>Yang, Kyeongra</t>
  </si>
  <si>
    <t>2007-04365-002</t>
  </si>
  <si>
    <t>10.1080/07399330601179836</t>
  </si>
  <si>
    <t>Acculturation; Asians; Health; Health Attitudes; Immigration; Sociocultural Factors; Adulthood (18 yrs &amp; older); Thirties (30-39 yrs); Middle Age (40-64 yrs); Aged (65 yrs &amp; older); Female</t>
  </si>
  <si>
    <t>The purpose of this study was twofold: to discover how Korean immigrant women perceived their health and to identify associations between social indicators and the health of Korean immigrant women. Participants in the study comprised a nonprobability sample of 137 Korean immigrant women living in the United States who submitted questionnaires about their health to the researcher by U.S. mail in 2004. Approximately 49% of the participants perceived their health as fair or poor. After age, income, education, marital status, and occupational status were controlled, the significant predictors of self-assessed health were involvement in exercise and length of residency in the United States. In future studies, the relationships between perception of health related to acculturation and self-rating health should be investigated. (PsycINFO Database Record (c) 2016 APA, all rights reserved)</t>
  </si>
  <si>
    <t>http://search.ebscohost.com.proxy-ub.rug.nl/login.aspx?direct=true&amp;db=psyh&amp;AN=2007-04365-002&amp;site=ehost-live&amp;scope=site</t>
  </si>
  <si>
    <t>Self-monitoring: A moderating role between acculturation strategies and adaptation of immigrants.</t>
  </si>
  <si>
    <t>Kosic, Ankica; Mannetti, Lucia; Sam, David L.</t>
  </si>
  <si>
    <t>2006-13051-001</t>
  </si>
  <si>
    <t>10.1016/j.ijintrel.2005.09.003</t>
  </si>
  <si>
    <t>Acculturation; Immigration; Self-Monitoring; Social Adjustment; Social Integration; Interpersonal Relationships; Adulthood (18 yrs &amp; older); Male; Female</t>
  </si>
  <si>
    <t>The study examines the relationship between immigrants' adaptation, acculturation strategies and self-monitoring. One-hundred-and-sixty-two Polish immigrants (mean age=31.3 years, SD=7.28) living in Rome participated in the study. The majority of the participants (66.0%) were females. A Questionnaire containing scales for assessing Sociocultural adaptation, Psychological adaptation, Attitudes towards social relationships with Italians and Poles, and Self-monitoring was administered. Using adaptation indices as criteria in moderated multiple regression analyses, we found main effects of self-monitoring and of assimilation and integration strategies, and interactive effects of self-monitoring and assimilation or integration strategy. Self-monitoring was positively related both to sociocultural and psychological adaptation in all the regressions. Assimilation and integration strategies in most of cases were also positively related to both types of adaptation. Such main effects, however, were qualified by the interactive effects. As far as sociocultural adaptation is concerned, simple slope analysis showed that: (a) the positive effect of choosing assimilation is much stronger for high self-monitor immigrants than for low self-monitor ones; (b) the effect of choosing integration is positive for low self-monitor immigrants, but negative for high self-monitor ones. As far as psychological adaptation is concerned, simple slope analysis shows that: (a) the effect of choosing assimilation is negative for high self-monitor immigrants and positive for low self-monitor ones; (b) the positive effect of choosing integration is stronger for high self-monitor immigrants than for low self-monitor ones. The implications of the findings for intercultural relationships are discussed. (PsycINFO Database Record (c) 2016 APA, all rights reserved)</t>
  </si>
  <si>
    <t>http://search.ebscohost.com.proxy-ub.rug.nl/login.aspx?direct=true&amp;db=psyh&amp;AN=2006-13051-001&amp;site=ehost-live&amp;scope=site</t>
  </si>
  <si>
    <t>Self-regulation in context: An ecocultural perspective on self-regulation during problem solving.</t>
  </si>
  <si>
    <t>Eksner, H. Julia</t>
  </si>
  <si>
    <t>2007-99017-505</t>
  </si>
  <si>
    <t>Life Experiences; Problem Solving; Self-Regulation; Adolescence (13-17 yrs); Adulthood (18 yrs &amp; older); Young Adulthood (18-29 yrs); Male; Female</t>
  </si>
  <si>
    <t>This dissertation addresses the process-pathways running between immigrant adolescents' life experiences and their engagement in school by providing an ecocultural perspective on self-regulation. While the role of social context, such as stress and resources, has been identified as critical in its influence on different dimensions of adolescent development, research on its effect on cognitive self-regulation1 is limited. This thesis investigates the influence of immigrant adolescents' social context on their self-regulation during problem solving in school. In addition, it also provides a preliminary consideration of the role of cultural resources, practices and beliefs in this process. I propose that self-regulation is a process connecting immigrant adolescent developmental experiences and their school-related outcomes. Study participants were public high school students (15 male, 22 female) aged 14-19 years (N=37) who recently immigrated to the United States. Survey data on participants' stress experiences (life events, and perceived neighborhood, acculturation, and racialization stress), perceived Social Support and Integration, and individual difference factors (depression, trait anxiety, Post-Traumatic Stress Disorder) were collected. During an interrupted time-series problem solving task participants' self-regulation, momentary affect, and biophysiological markers of stress (alpha;-amylase) were assessed. Structured qualitative interviews were conducted with a subset of the sample (N=18). The findings are consistent with the ecocultural model the study was based on. Adaptive self-regulatory strategy choice was predicted by less life stress, more social support and integration, and more momentary negative affect. Conversely, goal termination was predicted by more life stress, less social support, and less momentary positive affect. Secondly, the analysis of momentary change provides evidence that self-regulation is adjusted momentarily and in agreement with changing context conditions. Thirdly, the findings indicate that participants with higher experiences of context stress respond to a situational stress condition with significantly more negative affect and suggest, if don't establish, the increased use of maladaptive self-regulation strategies. Lastly, an exploratory investigation of the role of cultural resources for affective self-regulation identified a range of resources, practices and beliefs particular to this ecocultural setting. 1Self-regulation includes the setting of goals and their pursuit through the management of affect, thought and behavior. (PsycINFO Database Record (c) 2016 APA, all rights reserved)</t>
  </si>
  <si>
    <t>http://search.ebscohost.com.proxy-ub.rug.nl/login.aspx?direct=true&amp;db=psyh&amp;AN=2007-99017-505&amp;site=ehost-live&amp;scope=site</t>
  </si>
  <si>
    <t>Sex role ideology among East Asian Immigrants in the United States.</t>
  </si>
  <si>
    <t>Barry, Declan T.; Beitel, Mark</t>
  </si>
  <si>
    <t>2006-23054-012</t>
  </si>
  <si>
    <t>10.1037/0002-9432.76.4.512</t>
  </si>
  <si>
    <t>Asians; Immigration; Sex Role Attitudes; Sociocultural Factors; Adulthood (18 yrs &amp; older); Young Adulthood (18-29 yrs); Thirties (30-39 yrs); Middle Age (40-64 yrs); Male; Female</t>
  </si>
  <si>
    <t>Although sex role ideology (i.e., beliefs about the proper roles for men and women) is linked with self-definition and male-female interactions, researchers have rarely examined such beliefs among U.S. immigrants. This study examined the cultural (ethnic identity, self-construal) and demographic (gender, age, years in United States) correlates of sex role ideology among 170 (88 male, 82 female) East Asian immigrants using psychometrically established measures. Male participants who endorsed ethnic identity and interdependent self-construal were more likely to report traditional sex roles; female participants who lived for a longer period of time in the United States and who endorsed independent self-construal were more likely to report sex role equality. Clinicians should consider assessing sex role ideology to reduce the likelihood of stereotyping their immigrant clients. (PsycINFO Database Record (c) 2016 APA, all rights reserved)</t>
  </si>
  <si>
    <t>http://search.ebscohost.com.proxy-ub.rug.nl/login.aspx?direct=true&amp;db=psyh&amp;AN=2006-23054-012&amp;site=ehost-live&amp;scope=site</t>
  </si>
  <si>
    <t>Sexual violence against adolescent girls: Influences of immigration and acculturation.</t>
  </si>
  <si>
    <t>Decker, Michele R.; Raj, Anita; Silverman, Jay G.</t>
  </si>
  <si>
    <t>2007-06655-005</t>
  </si>
  <si>
    <t>10.1177/1077801207300654</t>
  </si>
  <si>
    <t>Acculturation; Immigration; Sexual Abuse; Adolescent Development; Rape; Victimization; Childhood (birth-12 yrs); School Age (6-12 yrs); Adolescence (13-17 yrs); Adulthood (18 yrs &amp; older); Young Adulthood (18-29 yrs); Female</t>
  </si>
  <si>
    <t>This study investigates associations between immigration and acculturation with sexual assault among a large, representative sample of high school girls. The analysis utilized data from the Massachusetts Youth Risk Behavior Surveys conducted in 1999, 2001, and 2003 (N = 5,919). Adjusted logistic regression analyses were conducted among the full sample and a sexually active subsample. Being an immigrant was associated with recurring sexual assault victimization; this effect was not consistent across age and racial/ethnic groups. Immigrant status conferred risk among adolescent girls aged 15 and younger, Black adolescent girls, and sexually active Hispanic girls. No differences were detected in sexual assault victimization based on acculturation. (PsycINFO Database Record (c) 2016 APA, all rights reserved)</t>
  </si>
  <si>
    <t>http://search.ebscohost.com.proxy-ub.rug.nl/login.aspx?direct=true&amp;db=psyh&amp;AN=2007-06655-005&amp;site=ehost-live&amp;scope=site</t>
  </si>
  <si>
    <t>Sharing optimal experiences and promoting good community life in a multicultural society.</t>
  </si>
  <si>
    <t>Delle Fave, Antonella; Bassi, Marta</t>
  </si>
  <si>
    <t>The Journal of Positive Psychology</t>
  </si>
  <si>
    <t>2009-12674-004</t>
  </si>
  <si>
    <t>10.1080/17439760902933716</t>
  </si>
  <si>
    <t>Expectations; Immigration; Quality of Life; Well Being; Multiculturalism; Adaptation; Adulthood (18 yrs &amp; older); Young Adulthood (18-29 yrs); Thirties (30-39 yrs); Middle Age (40-64 yrs); Male; Female</t>
  </si>
  <si>
    <t>This study focused on immigrants’ quality of daily experience, sources of well-being and future expectations. Theoretical frameworks were research on cross-cultural adaptation and studies on optimal experience. Participants were 159 first-generation immigrants, who moved to Italy from Africa, India, South America, and Eastern Europe. Data were collected through Flow Questionnaire and Life Theme Questionnaire, providing information on optimal experience and associated activities, present challenges and future goals, and on the quality of experience perceived in daily life domains. Results showed that the occurrence of optimal experiences and the features of the associated activities, as well as perceived challenges and goals were primarily connected with the life opportunities offered by the hosting country, along with participants’ cultural distance and length of stay. This suggests that information on optimal experiences, perceived quality of daily life and future goals can be useful in designing programs to support immigrants’ psychological wellbeing and socio-cultural adjustment. (PsycINFO Database Record (c) 2016 APA, all rights reserved)</t>
  </si>
  <si>
    <t>http://search.ebscohost.com.proxy-ub.rug.nl/login.aspx?direct=true&amp;db=psyh&amp;AN=2009-12674-004&amp;site=ehost-live&amp;scope=site</t>
  </si>
  <si>
    <t>Should culture affect practice? A comparison of prognostic discussions in consultations with immigrant versus native-born cancer patients.</t>
  </si>
  <si>
    <t>Butow, Phyllis N.; Sze, Ming; Eisenbruch, Maurice; Bell, Melaine L.; Aldridge, Lynley J.; Abdo, Sarah; Tanious, Michelle; Dong, Skye; Iedema, Rick; Vardy, Janette; Hui, Rina; Boyle, Francis; Liauw, Winston; Goldstein, David</t>
  </si>
  <si>
    <t>Patient Education and Counseling</t>
  </si>
  <si>
    <t>2013-26477-005</t>
  </si>
  <si>
    <t>10.1016/j.pec.2013.03.006</t>
  </si>
  <si>
    <t>Neoplasms; Quality of Care; Racial and Ethnic Differences; Therapeutic Processes; Immigration; Indigenous Populations; Prognosis; Sociocultural Factors; Adulthood (18 yrs &amp; older); Middle Age (40-64 yrs); Aged (65 yrs &amp; older); Male; Female</t>
  </si>
  <si>
    <t>Objective: Poor prognosis is difficult to impart, particularly across a cultural divide. This study compared prognostic communication with immigrants (with and without interpreters) versus native-born patients in audio-taped oncology consultations. Methods: Ten oncologists, 78 patients (31 Australian-born, 47 immigrants) and 115 family members participated. The first two consultations after diagnosis of incurable disease were audiotaped, transcribed and coded. 142 consultations were included in the analysis. Results: Fifty percent of doctor and 59% of patient prognostic speech units were not interpreted or interpreted non-equivalently when an interpreter was present. Immigrant status predicted few prognostic facts, and oncologist characteristics no prognostic facts, disclosed. Oncologists were significantly less likely to convey hope to immigrants (p = 0.0004), and more likely to use medical jargon (p = 0.009) than with Australian-born patients. Incurable disease status and a limited life span were commonly acknowledged, generally with no timeframe provided. Physical issues were discussed more commonly than emotional aspects. Conclusions: While culture did not appear to influence doctor speech, interpreters filtered or blocked much prognostic communication. Practice implications: Initiatives to empower all patients to attain needed information, optimise communication when an interpreter is present and train cancer health professionals in culturally appropriate care, are urgently required. (PsycInfo Database Record (c) 2020 APA, all rights reserved)</t>
  </si>
  <si>
    <t>http://search.ebscohost.com.proxy-ub.rug.nl/login.aspx?direct=true&amp;db=psyh&amp;AN=2013-26477-005&amp;site=ehost-live&amp;scope=site</t>
  </si>
  <si>
    <t>Sibling acculturation discrepancy, sibling relationship quality and adjustment among Vietnamese and Chinese young adults in Canada: A mixed-method approach.</t>
  </si>
  <si>
    <t>Le, Trang K.</t>
  </si>
  <si>
    <t>2012-99200-310</t>
  </si>
  <si>
    <t>Acculturation; Relationship Quality; Sibling Relations; Social Adjustment; Adulthood (18 yrs &amp; older); Young Adulthood (18-29 yrs)</t>
  </si>
  <si>
    <t>The present research represents an expansion of the acculturation gap-distress model by investigating the role of acculturation discrepancies in the adjustment of Vietnamese and Chinese young adults. A concurrent mixed-method nested, quantitative dominant design was employed. A comparison between actual and perceived sibling acculturation discrepancy was also examined as well as differences between Vietnamese and Chinese young adults on the key study variables. Thematic analysis of the qualitative data was conducted to further shed light on the quantitative findings. Two samples were collected: the main data set comprised of 150 Vietnamese and Chinese young adults and the sibling pairs data set comprised of 18 pairs of siblings. Questionnaires on self-reported and perceived bilinear acculturation, sibling relationship quality, psychological adjustment, intercultural adjustment difficulties and demographic data were administered online. Qualitative data was collected using eight open-ended questions regarding sibling acculturation discrepancy and sibling relations. Quantitative results showed that sibling acculturation discrepancy uncorrelated with psychological adjustment or intercultural adjustment difficulties. Further, sibling conflict moderated the relationship between perceived sibling heritage acculturation discrepancy and intercultural competence difficulties and predicted psychological adjustment. Analyses also revealed that siblings accurately perceived acculturation discrepancies. Further, actual and perceived acculturation discrepancy were both associated with psychological adjustment and intercultural competence difficulties. Finally, Chinese young adults were more likely to report higher heritage acculturation and sibling warmth than Vietnamese young adults. Qualitative results revealed seven themes of which three were related to the quantitative results. First, siblings defined acculturation in both multi-factorial and bilinear terms. A multi-factorial and bilinear approach to acculturation measurement may have enhanced the present study. In addition, siblings were aware of differences in acculturation between themselves, but they employed many strategies to cope with perceived acculturation differences to help mitigate sibling conflict and distress. The association between sibling conflict and psychological adjustment found in this study may be related to the way siblings cope with acculturation differences. This study expands upon the acculturation gap-distress model to include siblings as an important context within which to study immigrant adjustment and adaptation. The implications of its findings are discussed. (PsycINFO Database Record (c) 2016 APA, all rights reserved)</t>
  </si>
  <si>
    <t>http://search.ebscohost.com.proxy-ub.rug.nl/login.aspx?direct=true&amp;db=psyh&amp;AN=2012-99200-310&amp;site=ehost-live&amp;scope=site</t>
  </si>
  <si>
    <t>Slow down or slow dawn? Organizational practices, culture, and emerging opportunities for women and minorities in a shrinking Japan.</t>
  </si>
  <si>
    <t>Holbrow, Hilary Jane</t>
  </si>
  <si>
    <t>11-A(E)</t>
  </si>
  <si>
    <t>2017-36663-021</t>
  </si>
  <si>
    <t>Culture Change; Human Females; Minority Groups; Organizational Development; Adulthood (18 yrs &amp; older); Female</t>
  </si>
  <si>
    <t>Japan's population is rapidly contracting. If current trends continue, its population will fall to just one third of its 2010 peak by as early as 2095, with even faster declines in the working age population. Scholars are unsure how population contractions in Japan and the rest of the developed world will alter or uphold existing status hierarchies. On one hand, those at the top of the economic hierarchy may strengthen their grip on a shrinking number of good jobs. Alternatively, labor shortages may create new opportunities for formerly disadvantaged people. In three papers this dissertation examines the forms and causes of economic inequality in the context of Japan's demographic decline. It uses original data collected from 539 white collar workers at twelve large Japanese firms. The first paper on gender inequality finds little evidence that firms exclude women from good jobs. However, within jobs, firms continue to pay women less than men, even after adjustments for performance. The results indicate that labor shortages do induce firms to admit more women to good jobs, but may even increase their incentives to discriminate against them within jobs. The second paper compares economic outcomes for skilled foreign workers and their Japanese counterparts. After adjustments for acculturation and human capital quality, the data show that Western immigrants to Japan earn more even than Japanese doing similar jobs, while East Asians earn less. This pattern of stratification suggests that context of reception---particularly the attitudes of Japanese people towards members of different groups---is more influential in generating stratification within firms than the acculturation of foreign workers. The third paper tests directly whether ethnic and racial attitudes matter for inequality between Japanese and foreign workers. Using the results of a survey experiment on attitudes, I show that in firms where coworkers are more biased against non-Japanese East Asians, inequality between Japanese and other Asians is greater. Similarly, in firms where coworkers demonstrate more pro-Western bias, Western employees are at a greater wage advantage. Together, the three papers show that, in a context of demographic decline, outsiders do move into good jobs, but do not overturn existing status hierarchies. (PsycINFO Database Record (c) 2017 APA, all rights reserved)</t>
  </si>
  <si>
    <t>http://search.ebscohost.com.proxy-ub.rug.nl/login.aspx?direct=true&amp;db=psyh&amp;AN=2017-36663-021&amp;site=ehost-live&amp;scope=site</t>
  </si>
  <si>
    <t>Smoking during pregnancy among Turkish immigrants in Germany—Are there associations with acculturation?</t>
  </si>
  <si>
    <t>Reiss, Katharina; Breckenkamp, Jürgen; Borde, Theda; Brenne, Silke; David, Matthias; Razum, Oliver</t>
  </si>
  <si>
    <t>2015-21455-003</t>
  </si>
  <si>
    <t>10.1093/ntr/ntu237</t>
  </si>
  <si>
    <t>Acculturation; Human Females; Immigration; Pregnancy; Tobacco Smoking; Adulthood (18 yrs &amp; older); Female</t>
  </si>
  <si>
    <t>Introduction: We analyzed the association between different acculturation measures and smoking among pregnant immigrant women from Turkey and compared smoking rates between Turkish and German women. Methods: Perinatal data from a project on the influence of migration and acculturation on pregnancy and birth in Berlin was analyzed. An acculturation index (FRAKK) and two proxy measures (German language proficiency, length of stay in Germany) were used. We performed logistic regression models and calculated age-standardized prevalence ratios (SPR). Results: Smoking prevalence was 19.8% among pregnant Turkish women (n = 702) and 17.8% among German women (n = 2,999). The chance of being a smoker was significantly higher among Turkish women with a length of stay of ≥20 years compared to 0–4 years (OR = 3.63, 95% CI = 1.64–8.05); with good/very good language skills compared to none/minor skills; with high levels of acculturation compared to low levels (the latter only among 18–29-year-old women). Compared to German women, Turkish women with a short length of stay, low acculturation scores and none/minor language skills had lower smoking rates. This finding inverts with long length of stay, high acculturation scores and good/very good language skills (≥20 years: SPR = 2.14, 95% CI = 1.56–2.94). Conclusions: Smoking among pregnant Turkish women increases with increasing acculturation. Additionally, immigrant women with a low acculturation level are less often smokers and women with a high level are more often smokers than German women. Prevention measures have to prevent women with a low acculturation from starting to smoke and to induce those with a high acculturation to quit. As smoking and acculturation are group phenomena, it is necessary to involve immigrant communities. (PsycInfo Database Record (c) 2020 APA, all rights reserved)</t>
  </si>
  <si>
    <t>http://search.ebscohost.com.proxy-ub.rug.nl/login.aspx?direct=true&amp;db=psyh&amp;AN=2015-21455-003&amp;site=ehost-live&amp;scope=site</t>
  </si>
  <si>
    <t>Social activity and depressive symptoms in Korean American older adults: The conditioning role of acculturation.</t>
  </si>
  <si>
    <t>2011-14066-001</t>
  </si>
  <si>
    <t>10.1177/0898264310396214</t>
  </si>
  <si>
    <t>Acculturation; Aging; Major Depression; Social Interaction; Symptoms; Adulthood (18 yrs &amp; older); Middle Age (40-64 yrs); Aged (65 yrs &amp; older); Very Old (85 yrs &amp; older); Male; Female</t>
  </si>
  <si>
    <t>Objective: This study examined the independent and interactive effects of acculturation and social activity on depressive symptoms. Method: Using a sample of community-dwelling Korean American older adults (N = 675), hierarchical regression models of depressive symptoms were estimated with an array of predictors: (a) demographic variables, (b) health-related variables, (c) acculturation, (d) social activity, and (e) an interaction between acculturation and social activity. Results: After controlling for the effects of demographic and health-related variables, both acculturation and social activity were identified as significant predictors. Moreover, their interaction was significant (β = .09, p &lt; .05). Further analysis showed that the beneficial effect of social activity on mental health was particularly strong among those with lower levels of acculturation. Discussion: Our findings suggest that enhancing opportunities for social engagement may serve to protect and promote the mental health of vulnerable older immigrants, particularly those who are less acculturated. (PsycINFO Database Record (c) 2017 APA, all rights reserved)</t>
  </si>
  <si>
    <t>http://search.ebscohost.com.proxy-ub.rug.nl/login.aspx?direct=true&amp;db=psyh&amp;AN=2011-14066-001&amp;site=ehost-live&amp;scope=site</t>
  </si>
  <si>
    <t>Social and psychological adjustment of Chinese Canadian children.</t>
  </si>
  <si>
    <t>Chen, Xinyin; Tse, Hennis Chi-Hang</t>
  </si>
  <si>
    <t>2010-13610-006</t>
  </si>
  <si>
    <t>10.1177/0165025409337546</t>
  </si>
  <si>
    <t>Peer Relations; Psychosocial Development; Social Adjustment; Social Processes; Social Skills; Loneliness; Self-Perception; Self-Worth; Social Functioning; Childhood (birth-12 yrs); School Age (6-12 yrs); Adolescence (13-17 yrs); Male; Female</t>
  </si>
  <si>
    <t>This study examined social and psychological adjustment of immigrant and Canadian-born Chinese children in Canada. Participants included a sample of elementary school children (N = 356, M age = 11 years). Data on social functioning, peer relationships, school-related social competence, perceived self-worth, and loneliness were collected from peer assessments, teacher ratings, and self-reports. The results indicated that immigrant and Canadian-born Chinese children had different experiences of social and psychological adjustment in the school. Among aspects of acculturation, English proficiency and participation in Chinese cultural activities were positively associated with social competence and negatively associated with adjustment problems, particularly in immigrant Chinese children. These results indicate the involvement of contextual factors in children’s social functioning and psychological well-being. (PsycInfo Database Record (c) 2020 APA, all rights reserved)</t>
  </si>
  <si>
    <t>http://search.ebscohost.com.proxy-ub.rug.nl/login.aspx?direct=true&amp;db=psyh&amp;AN=2010-13610-006&amp;site=ehost-live&amp;scope=site</t>
  </si>
  <si>
    <t>Social axioms and acculturation orientations of English Canadians toward British and Arab Muslim immigrants.</t>
  </si>
  <si>
    <t>Safdar, Saba; Dupuis, Darcy R.; Lewis, Rees J.; El-Geledi, Shaha; Bourhis, Richard Y.</t>
  </si>
  <si>
    <t>2008-11641-004</t>
  </si>
  <si>
    <t>10.1016/j.ijintrel.2008.03.002</t>
  </si>
  <si>
    <t>Acculturation; Immigration; Social Norms; Arabs; Muslims; Adolescence (13-17 yrs); Adulthood (18 yrs &amp; older); Young Adulthood (18-29 yrs); Male; Female</t>
  </si>
  <si>
    <t>The goal of this study was to examine the role of Social Axioms in the endorsement of acculturation orientations held by members of the receiving society toward immigrants. Acculturation orientations of English Canadian undergraduates toward immigrants from Britain and immigrants of Arab Muslim background were measured. Respondents also completed the Social Axioms Survey (SAS) measuring five basic dimensions of social beliefs. A total of 349 undergraduate students (278 female, 71 male) attending a Southern Ontario University in Canada participated in the study. Results showed that participants endorsed the welcoming acculturation orientations, Individualism, Integrationism, and Intergrationism-transformation, more toward culturally close (British) than culturally distant (Arab Muslim) immigrants. Participants also endorsed the unwelcoming acculturation orientations, Assimilationism, Segregationism, and Exclusionism, more toward Arab Muslim than British immigrants. Additionally, social beliefs were related to the acculturation orientations held by English Canadian undergraduates toward immigrants of both British and Arab Muslim origin. More specifically, Religiosity beliefs were associated with the endorsement of Assimilationist, Segregationist and Exclusionist acculturation orientations toward culturally distant and not toward culturally close immigrants. (PsycINFO Database Record (c) 2016 APA, all rights reserved)</t>
  </si>
  <si>
    <t>http://search.ebscohost.com.proxy-ub.rug.nl/login.aspx?direct=true&amp;db=psyh&amp;AN=2008-11641-004&amp;site=ehost-live&amp;scope=site</t>
  </si>
  <si>
    <t>Social bonds across immigrant generations: Bonding to school and examining the relevance of assimilation.</t>
  </si>
  <si>
    <t>Peguero, Anthony A.; Bondy, Jennifer M.; Hong, Jun Sung</t>
  </si>
  <si>
    <t>Youth &amp; Society</t>
  </si>
  <si>
    <t>2017-36354-002</t>
  </si>
  <si>
    <t>10.1177/0044118X14560335</t>
  </si>
  <si>
    <t>Educational Psychology; Ethnic Identity; Extracurricular Activities; Immigration; Latinos/Latinas; Acculturation; Asians; Racial and Ethnic Relations; Adolescence (13-17 yrs); Male; Female</t>
  </si>
  <si>
    <t>The focus of this study is to investigate school bonding among adolescents in immigrant families using a segmented assimilation theoretical framework. Data are drawn from the Educational Longitudinal Study of 2002, a nationally representative sample of 10th graders. We focus on a subsample consisting of 9,870 first- (N = 1,170, 12 %), second- (N = 1,540, 16 %), and third-plus-generation (N = 7,160, 73%) students in 580 public schools. Our findings suggest that adolescents’ school bond seems to diminish or 'decline' as the children of immigrants assimilate. Implications for research on racial/ethnic and immigrant generational disparities in adolescent social bonds to school are also discussed. (PsycINFO Database Record (c) 2018 APA, all rights reserved)</t>
  </si>
  <si>
    <t>http://search.ebscohost.com.proxy-ub.rug.nl/login.aspx?direct=true&amp;db=psyh&amp;AN=2017-36354-002&amp;site=ehost-live&amp;scope=site</t>
  </si>
  <si>
    <t>Social capital in ethnic communities and mental health: A study of older Korean immigrants.</t>
  </si>
  <si>
    <t>Jang, Yuri; Park, Nan Sook; Chiriboga, David A.; Yoon, Hyunwoo; An, Sok; Kim, Miyong T.</t>
  </si>
  <si>
    <t>2015-06034-001</t>
  </si>
  <si>
    <t>10.1007/s10823-015-9258-9</t>
  </si>
  <si>
    <t>Communities; Immigration; Racial and Ethnic Differences; Social Capital; Depression (Emotion); Mental Health; South Asian Cultural Groups; Adulthood (18 yrs &amp; older); Middle Age (40-64 yrs); Aged (65 yrs &amp; older); Very Old (85 yrs &amp; older); Male; Female</t>
  </si>
  <si>
    <t>This study examined how social capital in ethnic communities (e.g., social cohesion, community support, community participation, and negative interaction) influences depressive symptoms of older Korean immigrants. Using survey data from 209 participants in Central Texas (Mage = 69.6, SD = 7.50), hierarchical regression models of depressive symptoms were examined with the following sets of predictors: (1) demographics, (2) physical health, (3) sociocultural factors, and (4) ethnic community factors. After controlling for the multiple sets of individual-level variables previously known to be important predictors of mental health, ethnic community factors made a substantial contribution. Higher levels of depressive symptoms were observed among individuals who received lower levels of community support (β = −0.14, p &lt; 0.05), had limited participation in ethnic community events and activities (β = −0.15, p &lt; 0.05), and reported more frequent negative interactions with ethnic community members (β = 0.12, p &lt; 0.05). Findings highlight the importance of social capital in ethnic communities and hold implications for improving older ethnic immigrants’ mental well-being. (PsycINFO Database Record (c) 2016 APA, all rights reserved)</t>
  </si>
  <si>
    <t>http://search.ebscohost.com.proxy-ub.rug.nl/login.aspx?direct=true&amp;db=psyh&amp;AN=2015-06034-001&amp;site=ehost-live&amp;scope=site</t>
  </si>
  <si>
    <t>Social capital: An investment in understanding and addressing acculturative stress in the Canadian Iraqi-Christian community.</t>
  </si>
  <si>
    <t>Abdulahad, Raika</t>
  </si>
  <si>
    <t>2012-99050-470</t>
  </si>
  <si>
    <t>Acculturation; Communities; Demographic Characteristics; Social Capital; Stress</t>
  </si>
  <si>
    <t>This study examines the relationship between social capital and acculturative stress in a sample of the Canadian Iraqi-Christian community based on age, income, education, and gender. The dependent variable in this study was acculturative stress while the independent variables included measures of social capital described as constructs based on factor analysis and demographic variables. Five hypotheses were generated, and data was collected from 326 Iraqi Christians residing in Southern Ontario, Canada, who completed a set of questionnaires administrated by the researcher of this study. Three layers of analysis were implemented to test each hypothesis. The first layer tested the predictability of social-capital constructs and the demographic variables on the overall acculturative-stress score. Using logistic regression, an 'Acculturative Stress Main Model' was developed to test the predictability of the social-capital constructs and demographic variables on the overall acculturative-stress score. A binary score was created by splitting the sum of responses to all acculturative stress at the median score. The range of the acculturative-stress sum score was 1 to 100 with a median score of39. This means participants showed a moderate level of acculturative stress. The second layer of the analysis investigated the specific interrelationships between the independent variables and each individual construct of the acculturative stress instrument. This layer of the analysis provided a better understanding of the complex relationships between the dependent and independent variables. For this purpose, six logistic regression models were developed: (1) AS experiencing stereotypes, (2) AS change in values, (3) AS language competencies, (4) AS feeling unappreciated , (5) AS experiencing discrimination, (6) AS identification with country of origin. Each model tested an individual construct of acculturative stress as a dependent variable and against the independent variables of the study (age, education, gender, income, and the six social-capital constructs). A binary score was computed for each acculturative-stress construct, and the distribution was split at the median within each construct. The third layer evaluated each factor from the social-capital instrument and the demographic variables as predictors on the binary outcome for the individual construct of acculturative stress by splitting the sample according to gender to understand the source of stress for each gender. The results of this study in relation to the first, second, fourth, and, fifth hypotheses were consistent with existing social-capital literature on health, which considers social capital as resources that reduce psychological stressors and improve the health and well-being of individuals. In effect, because the participants of this study enjoy social capital, they do not experience high level of acculturative stress. The moderate level of acculturative stress they do experience is due to their interaction with people from the dominant culture. However, the results of this study in relation to the third hypothesis were inconsistent with previous literature. This is one of the few studies that introduces the concept of social capital to the field of social work, considering social capital as a source of social integration and as means of economic success. Social capital is also essential for policy development to support diversity inclusion and social cohesion in a multicultural society. This study connects the concept of social capital to the psychological health of immigrants by considering social capital as a predictive factor of acculturative stress. This investigation developed its acculturation model as involving three levels of interaction by the immigrant. (PsycINFO Database Record (c) 2016 APA, all rights reserved)</t>
  </si>
  <si>
    <t>http://search.ebscohost.com.proxy-ub.rug.nl/login.aspx?direct=true&amp;db=psyh&amp;AN=2012-99050-470&amp;site=ehost-live&amp;scope=site</t>
  </si>
  <si>
    <t>Social capital: Understanding acculturative stress in the Canadian Iraqi–Christian community.</t>
  </si>
  <si>
    <t>Abdulahad, Raika; Graham, John R.; Montelpare, William J.; Brownlee, Keith</t>
  </si>
  <si>
    <t>British Journal of Social Work</t>
  </si>
  <si>
    <t>2014-15956-011</t>
  </si>
  <si>
    <t>10.1093/bjsw/bcs160</t>
  </si>
  <si>
    <t>Acculturation; Immigration; Social Capital; Social Casework; Stress; Communities; Needs; Social Networks; Multicultural Counseling; Adulthood (18 yrs &amp; older); Young Adulthood (18-29 yrs); Thirties (30-39 yrs); Middle Age (40-64 yrs); Male; Female</t>
  </si>
  <si>
    <t>This study examined how acculturative stress is influenced by social capital, age, income, education and gender in a sample of 326 Iraqi-Christians from southern Ontario, Canada. Both overall acculturative stress and its individual constructs were tested in a series of logistic regression models. Five hypotheses were generated and three layers of analysis were implemented. First, the contributions of social–capital constructs and demographic variables to overall acculturative stress were examined. Second, the same variables were investigated in relation to the individual factors comprising acculturative stress. Third, the relationships of the social capital factors and demographic variables to acculturative stress for males and females were examined separately. This study found that a significant number of Iraqi-Christian immigrants in southern Ontario experience moderate acculturative stressors associated with the experience of discrimination, change in values, language incompetence, feeling unappreciated and discomfort with the loss of their identification with their country of origin. The results offer increased understanding for social workers who work with Iraqi-Christian individuals regarding the experience of acculturation and acculturative stress. Some recommendations for practice emerging from the results were also provided. (PsycINFO Database Record (c) 2018 APA, all rights reserved)</t>
  </si>
  <si>
    <t>http://search.ebscohost.com.proxy-ub.rug.nl/login.aspx?direct=true&amp;db=psyh&amp;AN=2014-15956-011&amp;site=ehost-live&amp;scope=site</t>
  </si>
  <si>
    <t>Social cognitive and demographic factors related to adolescents’ intrinsic satisfaction with school.</t>
  </si>
  <si>
    <t>Briones, Elena; Tabernero, Carmen</t>
  </si>
  <si>
    <t>Social Psychology of Education: An International Journal</t>
  </si>
  <si>
    <t>2012-13259-006</t>
  </si>
  <si>
    <t>10.1007/s11218-012-9176-4</t>
  </si>
  <si>
    <t>Adolescent Attitudes; Classroom Behavior; Self-Efficacy; Self-Regulation; Social Cognition; Satisfaction; Childhood (birth-12 yrs); School Age (6-12 yrs); Adolescence (13-17 yrs); Adulthood (18 yrs &amp; older); Male; Female</t>
  </si>
  <si>
    <t>Based on social cognitive theory, the purpose of this study is to examine certain social cognitive and demographic factors involved in intrinsic satisfaction amongst secondary school students of different cultural backgrounds in a new migrant-receiving country. Given the role of schools in youth acculturation and adaptation, it is important to detect the variables related to successful academic adaptation of adolescents. The sample comprised of 938 South American, African and Spanish adolescents who settled in Spain. Correlation analyses showed that age, social self-efficacy, academic self-concept, attribution style and intrinsic satisfaction were related. ANOVAs revealed that girls displayed a greater tendency to attribute their outcomes to internal factors than boys. Furthermore, older and Spanish adolescents displayed lower levels of intrinsic satisfaction than younger and immigrant adolescents. Path analyses found that social self-efficacy and academic self-concept were the best predictors of intrinsic satisfaction. Therefore, the promotion of social self-efficacy and academic self-concept should increase intrinsic satisfaction in schools. In addition, research into the role of cultural origin in self-regulation in schools may be necessary. (PsycINFO Database Record (c) 2019 APA, all rights reserved)</t>
  </si>
  <si>
    <t>http://search.ebscohost.com.proxy-ub.rug.nl/login.aspx?direct=true&amp;db=psyh&amp;AN=2012-13259-006&amp;site=ehost-live&amp;scope=site</t>
  </si>
  <si>
    <t>Social dominance orientation, realistic and symbolic threat: Effects on Italians' acculturation orientations, intergroup attitudes and emotions toward immigrants.</t>
  </si>
  <si>
    <t>Vezzali, Loris; Giovannini, Dino</t>
  </si>
  <si>
    <t>2010-20930-003</t>
  </si>
  <si>
    <t>Acculturation; Emotions; Immigration; Ingroup Outgroup; Intergroup Dynamics; Dominance Hierarchy; Threat; Social Dominance; Adulthood (18 yrs &amp; older); Male; Female</t>
  </si>
  <si>
    <t>In this study, realistic and symbolic threat were tested as mediators of the effects of Social Dominance Orientation (SDO; Sidanius &amp; Pratto, 1999) on acculturation orientations, intergroup attitudes and emotions. One-hundred Italian undergraduates completed one of three versions of a questionnaire, each evoking a different target group: immigrants in general, Moroccans, Chinese. We predicted that the effects of SDO on acculturation orientations would be mediated by realistic threat in the employment domain and by symbolic threat in the culture domain; both threats should mediate the SDO-intergroup attitudes and emotions relationship. Results showed, partially supporting predictions, mediation effects by realistic threat on integradonism (employment domain), intergroup attitudes and emotions, and by symbolic threat on assimilationism (culture domain). Evidence of moderated mediation emerged in the path from predictor to mediator: SDO increased realistic threat more for immigrants in general and Moroccans than for Chinese. Theoretical and practical implications of findings are discussed. (PsycInfo Database Record (c) 2020 APA, all rights reserved)</t>
  </si>
  <si>
    <t>http://search.ebscohost.com.proxy-ub.rug.nl/login.aspx?direct=true&amp;db=psyh&amp;AN=2010-20930-003&amp;site=ehost-live&amp;scope=site</t>
  </si>
  <si>
    <t>Social ecology and the recontextualization of acculturation: Exploring the psychological role of ethnic density.</t>
  </si>
  <si>
    <t>Jurcik, Tomas; Yakobov, Esther; Ahmed, Rana; Solopieieva-Jurcikova, lelyzaveta; Sunohara, Momoka; Ryder, Andrew G.</t>
  </si>
  <si>
    <t>2015-27971-006</t>
  </si>
  <si>
    <t>Acculturation; Cross Cultural Psychology; Ecology; Ethnic Identity; Social Psychology; Roles; Adulthood (18 yrs &amp; older)</t>
  </si>
  <si>
    <t>The current chapter argues for the importance of recontextualizing psychological research designs with social ecology, especially in the fields of social and (cross-cultural) psychology. 'Western' cultural and historical influences have likely contributed to the modus operandi of these disciplines in recent decades, reflected by a shift in focus towards individual-level variables in the absence of situational factors, and internal rather than external validity in research designs. One example is acculturation research, an area that has been extensively critiqued in recent years for methodological shortcomings as well as a lack of attention to context. Community psychology perspectives have begun, remediating this problem, highlighting the relevance of person-environment interactions in understanding adjustment. In line with such thinking, we profile our acculturation research programme with immigrants in Montreal, Canada, which has included both perceived and actual ethnic density as contextual variables. Our results shed light on some of the contrasting findings in both ethnic density and acculturation research literatures by recognizing that the two variables are likely to be closely interwoven. This research has also begun the process of unpacking the mechanisms of ethnic density effects that might act as mental health protective factors in immigrants. Clinical implications are discussed, as well as the mutually dependent nature between psychological and contextual variables. We make the case for greater collaboration between disciplines such as psychology, psychiatric epidemiology, anthropology, neuroscience, and sociology in order to generate more meaningful research. (PsycInfo Database Record (c) 2020 APA, all rights reserved)</t>
  </si>
  <si>
    <t>http://search.ebscohost.com.proxy-ub.rug.nl/login.aspx?direct=true&amp;db=psyh&amp;AN=2015-27971-006&amp;site=ehost-live&amp;scope=site</t>
  </si>
  <si>
    <t>Social identification and acculturation in the Basque autonomous community.</t>
  </si>
  <si>
    <t>Montaruli, Elisa; Bourhis, Richard Y.; Azurmendi, Maria-Jose; Larrañaga, Nekane</t>
  </si>
  <si>
    <t>2011-13386-005</t>
  </si>
  <si>
    <t>10.1016/j.ijintrel.2011.02.007</t>
  </si>
  <si>
    <t>Acculturation; Community Attitudes; Ethnic Identity; Minority Groups; Social Integration; Cross Cultural Differences; Immigration; Marriage; Sociocultural Factors; Adulthood (18 yrs &amp; older); Male; Female</t>
  </si>
  <si>
    <t>Basque origin undergraduates in four universities of the Basque Autonomous Community (BAC) completed the Host Community Acculturation Scale (HCAS) in three life domains: marriage, culture, and work. Undergraduates with a strong Basque identity (N = 308) and those with a strong dual Basque-Spanish identity (N = 219) completed the HCAS towards the co-national Spanish minority and 'devalued' Moroccan immigrants residing in the BAC. Results indicate that (1) undergraduates have a preference for individualism and integrationism towards Spanish co-nationals and Moroccans; (2) Strong Dual identifiers endorse individualism and integrationism more than Strong Basque identifiers towards Spanish co-nationals; (3) Strong Dual identifiers favored Spanish co-nationals over Moroccan immigrants in their acculturation orientations, whereas Strong Basque identifiers endorsed more welcoming acculturation orientations towards Moroccans than towards Spanish co-nationals; and (4) undergraduates endorsed more individualism, integrationism, and assimilationism in the work domain, while they endorsed more segregationism and exclusionism in the culture domain. Results are discussed using the Interactive Acculturation Model. (PsycINFO Database Record (c) 2016 APA, all rights reserved)</t>
  </si>
  <si>
    <t>http://search.ebscohost.com.proxy-ub.rug.nl/login.aspx?direct=true&amp;db=psyh&amp;AN=2011-13386-005&amp;site=ehost-live&amp;scope=site</t>
  </si>
  <si>
    <t>Social identity complexity and immigrants’ attitude toward the host nation: The intersection of ethnic and religious group identification.</t>
  </si>
  <si>
    <t>Verkuyten, Maykel; Martinovic, Borja</t>
  </si>
  <si>
    <t>2012-21281-006</t>
  </si>
  <si>
    <t>10.1177/0146167212446164</t>
  </si>
  <si>
    <t>Ethnic Identity; Immigration; Racial and Ethnic Attitudes; Religious Groups; Social Identity; Individual Differences; Adolescence (13-17 yrs); Adulthood (18 yrs &amp; older); Young Adulthood (18-29 yrs); Thirties (30-39 yrs); Middle Age (40-64 yrs); Aged (65 yrs &amp; older); Male; Female</t>
  </si>
  <si>
    <t>Social identity complexity refers to individual differences in the interrelationships among multiple ingroup identities. The present research conducted in the Netherlands examines social identity complexity in relation to Muslim immigrants’ national identification and the attitude toward the host majority. Three studies are reported that focused on the interrelationship between ethnicity and religion and examined social identity complexity in different ways. Study 1 showed that lower social identity complexity is associated with lower national identification. Studies 2 and 3 examined the interaction between ethnic and religious group identification. For Muslim identifiers, higher ethnic identification was related to lower national identification and higher ingroup bias (Studies 2) and lower endorsement of national liberal practices (Study 3). In contrast, for those who did not strongly identify with Muslims, higher ethnic identification was associated with higher national identification, stronger endorsement of Dutch liberal practices, and more positive stereotypes about the Dutch outgroup (Study 3). (PsycINFO Database Record (c) 2016 APA, all rights reserved)</t>
  </si>
  <si>
    <t>http://search.ebscohost.com.proxy-ub.rug.nl/login.aspx?direct=true&amp;db=psyh&amp;AN=2012-21281-006&amp;site=ehost-live&amp;scope=site</t>
  </si>
  <si>
    <t>Social inclusion and health conditions among Chinese immigrants in Hong Kong and the United Kingdom: An exploratory study.</t>
  </si>
  <si>
    <t>Chan, Kara; Huxley, Peter J.; Chiu, Marcus Yu-Lung; Evans, Sherrill; Ma, Yanni</t>
  </si>
  <si>
    <t>2015-09394-001</t>
  </si>
  <si>
    <t>10.1007/s11205-015-0910-0</t>
  </si>
  <si>
    <t>Immigration; Public Health; Social Behavior; Social Integration; Social Inclusion; Globalization; Adulthood (18 yrs &amp; older); Male; Female</t>
  </si>
  <si>
    <t>Whether and how immigrants are included in the host society has become a hot topic in the context of globalization. How inclusive a society is for immigrants can be answered by comparing the inclusion of immigrants to near-culture host society and those to a different-culture society. This paper reports the social inclusion and their correlation with health conditions among Chinese immigrants in Hong Kong and the United Kingdom. Two non-probability sample surveys were conducted using the Social and Communities Opportunities Profile and its Chinese version as survey instruments. Altogether 56 new arrivals in Hong Kong and 51 immigrants in UK were recruited through NGOs to participate in face-to-face individual interviews. Both Hong Kong and UK participants reported high overall social inclusion. The two sub-samples shared many similarities in the perceived opportunities and satisfaction of opportunities in various social domains. There was evidence that immigrants in a host society with similar language demonstrated higher perceived satisfaction with opportunities in contact with friends and family, as well as higher perceived opportunities for community involvement than immigrants in a society with a different language. However, overall social inclusion appeared to be independent of one’s health conditions. (PsycInfo Database Record (c) 2020 APA, all rights reserved)</t>
  </si>
  <si>
    <t>http://search.ebscohost.com.proxy-ub.rug.nl/login.aspx?direct=true&amp;db=psyh&amp;AN=2015-09394-001&amp;site=ehost-live&amp;scope=site</t>
  </si>
  <si>
    <t>Social integration and identity of immigrants from western countries, the FSU and Ethiopia in Israel.</t>
  </si>
  <si>
    <t>2012-15504-016</t>
  </si>
  <si>
    <t>10.1080/01419870.2011.602091</t>
  </si>
  <si>
    <t>Immigration; Social Capital; Social Integration; Socioeconomic Status; Adulthood (18 yrs &amp; older); Male; Female</t>
  </si>
  <si>
    <t>This study of immigrants’ integration in Israel centers on one major subjective parameter, namely the immigrant's identity. To explain it we explore a series of possible factors: demographic variables, economic status, and human and social capital characteristics. Three recent immigrant groups are examined: from Western countries, from the former Soviet Union (FSU), and from Ethiopia. These immigrants came to Israel during the last two decades from different societies, following different immigration circumstances and various motives. The findings, based on the 2007 Ruppin survey data, point to the significant impact of the identity as perceived by veteran Israelis on the immigrants’ self-identity for the three groups under study. Also, different variables affect each of the immigrant groups. FSU immigrants behaved according to most of our hypotheses, whereas Western and Ethiopian immigrants did not. Findings are discussed in light of the debate on measuring and defining immigrants' identity. (PsycINFO Database Record (c) 2016 APA, all rights reserved)</t>
  </si>
  <si>
    <t>http://search.ebscohost.com.proxy-ub.rug.nl/login.aspx?direct=true&amp;db=psyh&amp;AN=2012-15504-016&amp;site=ehost-live&amp;scope=site</t>
  </si>
  <si>
    <t>Social integration and religious identity expression among Dutch Muslims: The role of minority and majority group contact.</t>
  </si>
  <si>
    <t>Maliepaard, Mieke; Phalet, Karen</t>
  </si>
  <si>
    <t>2012-14861-002</t>
  </si>
  <si>
    <t>10.1177/0190272511436353</t>
  </si>
  <si>
    <t>Minority Groups; Religious Practices; Social Integration; Majority Groups; Muslims; Adolescence (13-17 yrs); Adulthood (18 yrs &amp; older); Young Adulthood (18-29 yrs); Thirties (30-39 yrs); Middle Age (40-64 yrs); Aged (65 yrs &amp; older); Male; Female</t>
  </si>
  <si>
    <t>[Correction Notice: An Erratum for this article was reported in Vol 75(3) of Social Psychology Quarterly (see record [rid]2014-26732-001[/rid]). In the original article, the figure on page 141, the two predictors 'majority group contact' and 'minority group contact' are incorrectly switched. The corrected figure is given in the erratum.] Against the background of contrasting religious versus secular norms in immigrant communities and in Dutch society, this study examines how religious identity expression is related to the social integration of Dutch Muslims within (a) Turkish or Moroccan minority groups and (b) Dutch majority groups. Using nationally representative survey data (N = 2,027), we distinguish religious identification from religious practice (worship and dietary practices) and assertion (support for the role of religion in politics and society) as different forms of religious expression. Structural equation models confirm that minority group contact supports and, conversely, majority group contact suppresses religious practice and assertion. In line with religion as social identity, this result is partly because Dutch Muslims with more minority contacts identify more strongly with their religion, whereas those with more majority contacts identify less strongly. As found in a social capital approach, social integration also directly influences religious expression, especially within the most cohesive Turkish minority group. (PsycINFO Database Record (c) 2016 APA, all rights reserved)</t>
  </si>
  <si>
    <t>http://search.ebscohost.com.proxy-ub.rug.nl/login.aspx?direct=true&amp;db=psyh&amp;AN=2012-14861-002&amp;site=ehost-live&amp;scope=site</t>
  </si>
  <si>
    <t>Social integration and self-reported health: Differences between immigrants and natives in Greece.</t>
  </si>
  <si>
    <t>Rapp, Carolin; Huijts, Tim; Eikemo, Terje A.; Stathopoulou, Theoni</t>
  </si>
  <si>
    <t>European Journal of Public Health</t>
  </si>
  <si>
    <t>Suppl 5</t>
  </si>
  <si>
    <t>2018-63642-007</t>
  </si>
  <si>
    <t>10.1093/eurpub/cky206</t>
  </si>
  <si>
    <t>Health; Immigration; Self-Report; Social Integration; Adulthood (18 yrs &amp; older); Male; Female</t>
  </si>
  <si>
    <t>Background: Our paper assesses the relationship between social integration, in terms of social contact and social trust, and one’s individual health. While a large body of research already engaged with clarifying this relationship, we know little about the role one’s immigration background plays in moderating this relationship. With respect to this, we explicitly focus on how one’s immigrant status moderates the relationship between social integration and self-reported health. Previous literature has demonstrably shown that the less socially integrated individuals are, the less likely they are to report good health. Moreover, we know from social capital literature that immigrants have difficulties being socially connected in their host country. Methods: With the help of the new MIGHEAL survey, we test this proposed negative relationship. We also compare the results from the MIGHEAL data with findings from the European Social Survey round 7. Our analyses follow a thorough approach testing immigrant background as potential moderating factors. We implement logistic regression models and path analysis to reveal the complex interactive relationship between social integration, immigrant status and self-reported health. Results/Conclusion: Our results suggest that immigrant status does play a moderating role in the relationship between social integration and health. This role, however, is limited to the relationship between social activity and self-reported health, which points to a potential endogenous effect. (PsycINFO Database Record (c) 2019 APA, all rights reserved)</t>
  </si>
  <si>
    <t>http://search.ebscohost.com.proxy-ub.rug.nl/login.aspx?direct=true&amp;db=psyh&amp;AN=2018-63642-007&amp;site=ehost-live&amp;scope=site</t>
  </si>
  <si>
    <t>Social integration prospectively predicts changes in heart rate variability among individuals undergoing migration stress.</t>
  </si>
  <si>
    <t>Gouin, Jean-Philippe; Zhou, Biru; Fitzpatrick, Stephanie</t>
  </si>
  <si>
    <t>2015-10949-011</t>
  </si>
  <si>
    <t>10.1007/s12160-014-9650-7</t>
  </si>
  <si>
    <t>Heart Rate; Human Migration; Social Integration; Stress; Heart Rate Variability; International Students; Loneliness; Adulthood (18 yrs &amp; older); Male; Female</t>
  </si>
  <si>
    <t>Background: Poor social integration increases risk for poor health. The psychobiological pathways underlying this effect are not well-understood. Purpose: This study utilized a migration stress model to prospectively investigate the impact of social integration on change in high-frequency heart rate variability (HF-HRV), a marker of autonomic functioning. Methods: Sixty new international students were recruited shortly after their arrival in the host country and assessed 2 and 5 months later. At each assessment period, participants provided information on social integration and loneliness and had their resting HF-HRV evaluated. Results: There was an overall decrease in HF-HRV over time. The magnitude of the within-person and between-person effects of social integration on HRV increased over time, such that greater social integration was associated with higher HF-HRV at later follow-ups. Conclusions: These results suggest that altered autonomic functioning might represent a key pathway linking social integration to health outcomes. (PsycINFO Database Record (c) 2019 APA, all rights reserved)</t>
  </si>
  <si>
    <t>http://search.ebscohost.com.proxy-ub.rug.nl/login.aspx?direct=true&amp;db=psyh&amp;AN=2015-10949-011&amp;site=ehost-live&amp;scope=site</t>
  </si>
  <si>
    <t>Social integration, AIDS knowledge and factors related to HIV prevention among migrant workers in Thailand.</t>
  </si>
  <si>
    <t>Ford, Kathleen; Chamratrithirong, Aphichat; Apipornchaisakul, Kanya; Panichapak, Promboon; Pinyosinwat, Thongphit</t>
  </si>
  <si>
    <t>2013-01834-001</t>
  </si>
  <si>
    <t>10.1007/s10461-013-0410-7</t>
  </si>
  <si>
    <t>AIDS Prevention; Health Behavior; Knowledge Level; Social Integration; AIDS; Immigration; Adolescence (13-17 yrs); Adulthood (18 yrs &amp; older); Young Adulthood (18-29 yrs); Thirties (30-39 yrs); Middle Age (40-64 yrs); Male; Female</t>
  </si>
  <si>
    <t>Previous research on migrant health indicates that social integration may exert a strong influence on health behavior. However, to our knowledge, this factor has not been integrated into models for HIV prevention. Drawing constructs from the Health Belief Model, the objective of this paper was to determine whether social integration, demographic, relationship and other factors were related to migrants’ ability to prevent HIV infection through AIDS knowledge and condom use. Data for the study were drawn from a survey of 3,405 male and female migrant laborers from Myanmar, Cambodia and Laos who were working in Thailand in 2010. Regression analysis showed that social integration, participation in an AIDS prevention program, self efficacy, demographic and relationship factors increased AIDS knowledge and condom use with regular and nonregular partners. The social integration of migrants into the Thai community strengthened HIV prevention efforts. (PsycINFO Database Record (c) 2016 APA, all rights reserved)</t>
  </si>
  <si>
    <t>http://search.ebscohost.com.proxy-ub.rug.nl/login.aspx?direct=true&amp;db=psyh&amp;AN=2013-01834-001&amp;site=ehost-live&amp;scope=site</t>
  </si>
  <si>
    <t>Social integration, mental health and willingness to settle in cities of migrant workers: An analysis based on structural equation model.</t>
  </si>
  <si>
    <t>Mo, Junhui; Yu, Zhengsong</t>
  </si>
  <si>
    <t>Revista Argentina de Clínica Psicológica</t>
  </si>
  <si>
    <t>2020-37331-003</t>
  </si>
  <si>
    <t>Fundación AIGLÉ</t>
  </si>
  <si>
    <t>Mental Health; Migrant Farm Workers; Social Integration; Adulthood (18 yrs &amp; older); Male; Female</t>
  </si>
  <si>
    <t>Social integration and mental health have great impacts on how willing migrant workers are to settle in cities. This paper aims to identify how these two factors affect the willingness of migrant workers to settle in cities. First, two hypotheses were put forward based on relevant literature and the theory of individual behavior, holding that the migrant workers’ willingness to settle in cities is positively affected by both social integration and mental health. Next, a questionnaire survey was carried out among migrant workers, using 19 observation variables and 3 latent variables. Finally, the structural equation model was introduced to analyze the survey data and validate the hypotheses. The results show that the respondents are very willing to settle in cities, moderately integrated to the local society, and poor in mental health; both social integration and mental health have a significant positive effect on migrant workers’ tendency to settle in cities; migrant workers of different genders and education levels differ greatly in their willingness to settle in cities; the urban integration and mental health of migrant workers can be enhanced by improving their income, work conditions and social security, thereby boosting their willingness to settle in cities. The research findings help to promote the coordinated urban-rural development and guide the rational movement of population. (PsycInfo Database Record (c) 2020 APA, all rights reserved)</t>
  </si>
  <si>
    <t>http://search.ebscohost.com.proxy-ub.rug.nl/login.aspx?direct=true&amp;db=psyh&amp;AN=2020-37331-003&amp;site=ehost-live&amp;scope=site</t>
  </si>
  <si>
    <t>Social integration, perceived stress, locus of control, and psychological wellbeing among Chinese emerging adult migrants: A conditional process analysis.</t>
  </si>
  <si>
    <t>Xia, Yiwei; Ma, Zhihao</t>
  </si>
  <si>
    <t>2020-21875-003</t>
  </si>
  <si>
    <t>10.1016/j.jad.2020.02.016</t>
  </si>
  <si>
    <t>Human Migration; Internal External Locus of Control; Social Integration; Stress; Well Being; Immigration; Social Influences; Emerging Adulthood; Adulthood (18 yrs &amp; older); Young Adulthood (18-29 yrs); Male; Female</t>
  </si>
  <si>
    <t>Background: This study investigated the underlying determinants of the relationship between social integration and three dimensions of psychological wellbeing in a nationally representative sample of emerging adult migrants in China. Methods: Data on 6,084 migrants aged 18–29 years in the 2014 China Migrants Dynamic Survey were analyzed. A conditional process analysis tested hypotheses regarding the influence of social integration on self-rated health, life satisfaction, and mental illness. Perceived stress was tested as a mediator, and the locus of control was tested as a moderator. Results: Social integration negatively related to mental illness (β= -0.10, p &lt; 0.001), and it positively related to self-rated health (β = 0.24, p &lt; 0.001) and life satisfaction (β = 0.14, p &lt; 0.001). Perceived stress had significant mediating effects on the influence of social integration on the dimensions of psychological wellbeing. The locus of control not only moderated the influence of social integration on perceived stress (β = -0.02, p &lt; 0.05), it moderated the influence of perceived stress on the mental illness dimension of psychological wellbeing (β = -0.03, p &lt; 0.001). Limitations: The cross-sectional design impeded the ability to draw causal inferences. Conclusions: Social integration was a key predictor of psychological wellbeing among emerging adult migrants in China. Perceived stress significantly mediated that relationship. The locus of control moderated the indirect effect of social integration on psychological wellbeing by weakening the buffering effect of social integration on perceived stress. Furthermore, the locus of control also buffered the negative effects of perceived stress. (PsycInfo Database Record (c) 2020 APA, all rights reserved)</t>
  </si>
  <si>
    <t>http://search.ebscohost.com.proxy-ub.rug.nl/login.aspx?direct=true&amp;db=psyh&amp;AN=2020-21875-003&amp;site=ehost-live&amp;scope=site</t>
  </si>
  <si>
    <t>Social isolation, acculturative stress and intimate partner violence (IPV) victimization among Korean immigrant women.</t>
  </si>
  <si>
    <t>Kim, Chunrye</t>
  </si>
  <si>
    <t>2019-50233-009</t>
  </si>
  <si>
    <t>10.1016/j.ijintrel.2019.07.005</t>
  </si>
  <si>
    <t>Acculturation; Immigration; Intimate Partner Violence; Stress; Victimization; Human Females; Human Migration; Korean Cultural Groups; Social Isolation; Social Issues; Social Support; Adulthood (18 yrs &amp; older); Female</t>
  </si>
  <si>
    <t>Intimate partner violence (IPV) is a serious health and social problem among Korean immigrant population. To identify risk factors that might be related to their initial IPV victimization as well as their continuous victimization by their partners, this study examined the relationship between social isolation, acculturative stress and IPV victimization among Korean immigrant women. Using the case-control design, 127 participants (64 IPV victims and 63 non-victims) were recruited for this study. The findings of this study revealed that acculturative stress and a lack of social support (i.e., social isolation) among Korean immigrant women are independently associated with IPV victimization. However, social support did not have a stress-buffering role for IPV. Also, acculturative stress partially mediates the effect of social isolation (lack of social support) on IPV. Based on this study’s findings, we then discuss policy implications to prevent further victimization focusing on social network and acculturative stress. (PsycINFO Database Record (c) 2019 APA, all rights reserved)</t>
  </si>
  <si>
    <t>http://search.ebscohost.com.proxy-ub.rug.nl/login.aspx?direct=true&amp;db=psyh&amp;AN=2019-50233-009&amp;site=ehost-live&amp;scope=site</t>
  </si>
  <si>
    <t>Social markers of acculturation: A new research framework on intercultural adaptation.</t>
  </si>
  <si>
    <t>Leong, Chan-Hoong</t>
  </si>
  <si>
    <t>2013-32535-001</t>
  </si>
  <si>
    <t>10.1016/j.ijintrel.2013.08.006</t>
  </si>
  <si>
    <t>Acculturation; Cross Cultural Communication; Immigration; Social Adjustment; Social Influences; Cross Cultural Differences; Economic Security; Society; Socioeconomic Status; Adulthood (18 yrs &amp; older); Middle Age (40-64 yrs); Male; Female</t>
  </si>
  <si>
    <t>The research examines the social construction of acculturation and naturalization from the perspectives of both native and immigrant citizens in Singapore. More specifically, what and by how much must immigrants do in order to be considered a full participating member in the adopted society? The convergence and divergence of viewpoints will illuminate the perceptual gaps between native and immigrant communities. In addition, the composite score of the markers will provide a measurement of social inclusiveness; it reflects the depth of psychological barriers imposed by the individual in preserving the distinct boundaries of citizenship. Multivariate analyzes showed that the two groups reacted differently to the challenges and benefits from immigration. Surprisingly, naturalized citizens were more sensitive to the impact of perceived immigrant threats and contribution even though they imposed fewer barriers to the new arrivals in becoming a part of the mainstream society. The definition of socio-economic confidence and how it may moderate acculturation attitude will also be discussed. (PsycINFO Database Record (c) 2017 APA, all rights reserved)</t>
  </si>
  <si>
    <t>http://search.ebscohost.com.proxy-ub.rug.nl/login.aspx?direct=true&amp;db=psyh&amp;AN=2013-32535-001&amp;site=ehost-live&amp;scope=site</t>
  </si>
  <si>
    <t>Social norms, acculturation, and physical activity among Latina women.</t>
  </si>
  <si>
    <t>Abraído-Lanza, Ana F.; Shelton, Rachel C.; Martins, Mariana Cunha; Crookes, Danielle M.</t>
  </si>
  <si>
    <t>2017-10001-007</t>
  </si>
  <si>
    <t>10.1007/s10903-016-0519-7</t>
  </si>
  <si>
    <t>Acculturation; Physical Activity; Social Norms; Human Females; Latinos/Latinas; Adulthood (18 yrs &amp; older); Middle Age (40-64 yrs); Female</t>
  </si>
  <si>
    <t>Physical activity promotes health and is important for preventing chronic conditions, such as obesity and cardiovascular disease. Little is known about factors associated with different types of PA among Latina women, particularly Dominicans, who now constitute the fifth largest group of Latinos in the United States. The purpose of this study was to examine whether occupational physical activity, acculturation, familism, and norms held by family and friends are associated with three types of PA: vigorous and moderate leisure-time physical activity (LTPA), and resistance training. Interviews were conducted with 418 Dominican women. We assessed self-reported PA using standardized measures. Data were collected between July 2010 and July 2012 in New York City. Most women reported no vigorous LTPA or resistance training (74.5 and 73.1 %, respectively); about half (52.1 %) reported no moderate LTPA. After adjusting for sociodemographic factors, occupational physical activities were associated with greater LTPA. Acculturation was not associated with any outcome. Positive family norms about exercise were associated with increased LTPA and resistance training. Family norms may play a critical role in PA and should be included in programs to increase PA among Latina women. (PsycINFO Database Record (c) 2017 APA, all rights reserved)</t>
  </si>
  <si>
    <t>http://search.ebscohost.com.proxy-ub.rug.nl/login.aspx?direct=true&amp;db=psyh&amp;AN=2017-10001-007&amp;site=ehost-live&amp;scope=site</t>
  </si>
  <si>
    <t>Social relationships and health among Chinese Americans with diabetes: Does age make a difference?</t>
  </si>
  <si>
    <t>Kwan, Christine M. L.; Mullan, Joseph T.; Chun, Kevin M.; Kwong, Yulanda; Hsu, Lydia; Chesla, Catherine A.</t>
  </si>
  <si>
    <t>2014-13399-001</t>
  </si>
  <si>
    <t>10.1080/07317115.2014.885918</t>
  </si>
  <si>
    <t>Diabetes; Health; Social Processes; Age Differences; Chinese Cultural Groups; Depression (Emotion); Immigration; Symptoms; Adulthood (18 yrs &amp; older); Thirties (30-39 yrs); Middle Age (40-64 yrs); Aged (65 yrs &amp; older); Male; Female</t>
  </si>
  <si>
    <t>This study examined whether social relationships were linked to health among Chinese Americans with diabetes, and whether age moderated these links given the norm of respect for the elderly. Chinese American immigrants with type 2 diabetes (n= 163) provided questionnaire and laboratory data. Relationships were assessed with diabetes family instrumental support, emotional support, and conflicts, as well as general support. Health was assessed with subjective health, depressive symptoms, and glucose regulation. When relationship predictors were examined simultaneously, more conflicts and less general support were associated with more depressive symptoms, after adjusting for covariates. More emotional support was associated with better glucose regulation only for midlife, not older, participants. Findings underscore cultural and life-stage considerations in studying social determinants of health. (PsycINFO Database Record (c) 2016 APA, all rights reserved)</t>
  </si>
  <si>
    <t>http://search.ebscohost.com.proxy-ub.rug.nl/login.aspx?direct=true&amp;db=psyh&amp;AN=2014-13399-001&amp;site=ehost-live&amp;scope=site</t>
  </si>
  <si>
    <t>Social stressors and alcohol use among immigrant sexual and gender minority Latinos in a nontraditional settlement state.</t>
  </si>
  <si>
    <t>Gilbert, Paul A.; Perreira, Krista; Eng, Eugenia; Rhodes, Scott D.</t>
  </si>
  <si>
    <t>2014-31626-001</t>
  </si>
  <si>
    <t>10.3109/10826084.2014.901389</t>
  </si>
  <si>
    <t>Alcohol Abuse; Alcohol Drinking Patterns; Immigration; Male Homosexuality; Social Stress; Human Males; Transgender; Latinos/Latinas; Adulthood (18 yrs &amp; older); Young Adulthood (18-29 yrs); Thirties (30-39 yrs); Middle Age (40-64 yrs); Male</t>
  </si>
  <si>
    <t>We sought to quantify the association of social stressors with alcohol use among immigrant sexual and gender minority Latinos in North Carolina (n = 190). We modeled any drinking in past year using logistic regression and heavy episodic drinking in past 30 days using Poisson regression. Despite a large proportion of abstainers, there were indications of hazardous drinking. Among current drinkers, 63% reported at least one heavy drinking episode in past 30 days. Ethnic discrimination increased, and social support decreased, odds of any drinking in past year. Social support moderated the associations of English use and ethnic discrimination with heavy episodic drinking. (PsycINFO Database Record (c) 2016 APA, all rights reserved)</t>
  </si>
  <si>
    <t>http://search.ebscohost.com.proxy-ub.rug.nl/login.aspx?direct=true&amp;db=psyh&amp;AN=2014-31626-001&amp;site=ehost-live&amp;scope=site</t>
  </si>
  <si>
    <t>Social support as a protective factor for pre-migration experience, acculturative stress, and post migration health.</t>
  </si>
  <si>
    <t>Chou, Jessica L.</t>
  </si>
  <si>
    <t>2015-99070-590</t>
  </si>
  <si>
    <t>Acculturation; Immigration; Marginalization; Latinos/Latinas; Social Justice; Social Support; Stress</t>
  </si>
  <si>
    <t>The purpose of this study was to build on existing research to gain more clarity in the pre and post-migration experiences of immigrants living in the United States by using acculturation theory and a social justice framework. Specifically, social support was considered a moderator for decreasing acculturative stress and increasing post-migration health. Acculturative stress was considered a mediator variable for pre-migration experiences and post-migration health. Cross-sectional quantitative data was collected via online survey method. A total of 109 first generation immigrants completed questionnaires. Preliminary analyses were conducted which led to hierarchical regression model and path modeling. Major findings revealed social support as a marginally significant moderator for acculturative stress and post-migration mental health. Additional results demonstrated key variables connected to pre-migration experiences including; age at migration, desire to come to the United States and continent of heritage culture. The current study highlighted the need to gain an overall better understanding of pre-migration preparation and factors that increase or decrease pre-migration planning. It is essential for clinicians and researchers to examine the process of migration from beginning to end, in order to best assist first generation immigrants living in the United States. (PsycINFO Database Record (c) 2016 APA, all rights reserved)</t>
  </si>
  <si>
    <t>http://search.ebscohost.com.proxy-ub.rug.nl/login.aspx?direct=true&amp;db=psyh&amp;AN=2015-99070-590&amp;site=ehost-live&amp;scope=site</t>
  </si>
  <si>
    <t>Social support modifies the association between household food insecurity and depression among Latinos with uncontrolled type 2 diabetes.</t>
  </si>
  <si>
    <t>Kollannoor-Samuel, Grace; Wagner, Julie; Damio, Grace; Segura-Pérez, Sofia; Chhabra, Jyoti; Vega-López, Sonia; Pérez-Escamilla, Rafael</t>
  </si>
  <si>
    <t>2011-25096-002</t>
  </si>
  <si>
    <t>10.1007/s10903-011-9499-9</t>
  </si>
  <si>
    <t>Diabetes Mellitus; Food; Major Depression; Risk Factors; Social Support; Latinos/Latinas; Type 2 Diabetes; Food Insecurity; Adulthood (18 yrs &amp; older); Middle Age (40-64 yrs); Male; Female</t>
  </si>
  <si>
    <t>Prevalence of depression is high among individuals with type 2 diabetes (T2D). The objective of the current study was to identify the socio-demographic, psychosocial, cultural, and clinical risk factors that predispose to depression, and resources that protect from depression among low income Latinos with T2D. Participants (N = 211) were interviewed in their homes upon enrollment. Multivariate logistic regression was used to identify factors associated with depressive symptoms based on a score of ≥21 on the Center for Epidemiological Studies Depression scale. Lower household income, interference of diabetes with daily activities, and more T2D clinical symptoms were associated with depression risk in the multivariate analyses. At each level of food insecurity the risk of depression was lower the higher the level of social support (P &lt; 0.05). Findings suggest that social support buffers against the negative influence of household food insecurity on depression risk. A comprehensive approach is necessary to address the mental health needs of low income Latinos with T2D. (PsycInfo Database Record (c) 2020 APA, all rights reserved)</t>
  </si>
  <si>
    <t>http://search.ebscohost.com.proxy-ub.rug.nl/login.aspx?direct=true&amp;db=psyh&amp;AN=2011-25096-002&amp;site=ehost-live&amp;scope=site</t>
  </si>
  <si>
    <t>Sociodemographic and psychological variables related to sociocultural, acculturative orientation of North African immigrants in France.</t>
  </si>
  <si>
    <t>Mokounkolo, René; Taillandier-Schmitt, Anne</t>
  </si>
  <si>
    <t>South African Journal of Psychology</t>
  </si>
  <si>
    <t>2009-02607-008</t>
  </si>
  <si>
    <t>10.1177/008124630803800408</t>
  </si>
  <si>
    <t>Psychological Society of South Africa</t>
  </si>
  <si>
    <t>Acculturation; Demographic Characteristics; Immigration; Psychosocial Factors; Sociocultural Factors; Adulthood (18 yrs &amp; older); Young Adulthood (18-29 yrs); Thirties (30-39 yrs); Middle Age (40-64 yrs); Aged (65 yrs &amp; older); Male; Female</t>
  </si>
  <si>
    <t>We analyzed two fields of the sociocultural, acculturative orientation of North African immigrants in France. The first is Immersion within the Society of Origin (ISO), which has two facets: 'Orientation towards Members of the Ingroup' (OMI) and 'Orientation towards the culture of origin' (OCO). The second, 'Immersion within the Host Society' (IHS) also comprises two facets: 'Orientation towards People of French Origin' (OPFO) and 'Orientation towards French Culture' (OFC). The aim was to analyze the relationship between these four facets of sociocultural acculturative orientations and various socio-demographic and psychosocial variables. Two-hundred-and-ten North African immigrants in France answered a questionnaire adapted from Stephenson's Multi group Acculturation Scale (SMAS). Stepwise multiple regression analyses show that OMI is linked to the country of origin and cultural identity, and OCO to satisfaction with life, family situation, sex and cultural identity. OPFO is linked to participation in club activities, and OFC to work/student activity and family situation. These results illustrate the relevance and value of studying immigrants' sociocultural, acculturative orientation on the basis of ISO vs. IHS models, and in the fields of their social relations and their relationship with the culture. They highlight the importance of looking at acculturation as a composite process, the various facets of which are related to different variables that can therefore be regarded as relevant indicators of immigrants' intercultural adaptation. (PsycINFO Database Record (c) 2016 APA, all rights reserved)</t>
  </si>
  <si>
    <t>http://search.ebscohost.com.proxy-ub.rug.nl/login.aspx?direct=true&amp;db=psyh&amp;AN=2009-02607-008&amp;site=ehost-live&amp;scope=site</t>
  </si>
  <si>
    <t>Socioeconomic, cultural, and personal influences on health outcomes in low income Mexican-origin individuals in Texas.</t>
  </si>
  <si>
    <t>Franzini, Luisa; Fernandez-Esquer, Maria Eugenia</t>
  </si>
  <si>
    <t>2004-17923-007</t>
  </si>
  <si>
    <t>10.1016/j.socscimed.2004.02.014</t>
  </si>
  <si>
    <t>Acculturation; Demographic Characteristics; Health; Lower Income Level; Sociocultural Factors; Human Migration; Mexican Americans; Health Outcomes; Adulthood (18 yrs &amp; older); Male; Female</t>
  </si>
  <si>
    <t>Several studies have suggested that the health of Mexican-Americans is better than expected given their low socioeconomic status. The healthy migrant hypothesis and the acculturation hypothesis, stating that the foreign-born and the less acculturated enjoy better health, have been proposed as possible complementary explanations. However, it is not clear which are the socioeconomic, cultural, and personal characteristics that favor good health and that differentiate foreign-born from US-born and unacculturated from acculturated Mexicans. In this paper, we compare, by nativity and acculturation level, the socioeconomic, cultural, and personal characteristics in a sample of low income mostly female Mexican-origin individuals living in Texas and investigate their contribution to differences in self-reported physical health, mental health, and self-rated health (SRH) status. Using a multistage probability sample, we completed 1745 interviews with Mexican-origin individuals. The survey instrument included the SF-12, demographic and socioeconomic information, and questions on social support, religiosity, fear of victimization, trust, perceived racism, and perceived opportunity. Nativity and use of the Spanish language were combined into a nativity/acculturation variable. We estimated multivariate regressions and ordered logit regressions to investigate the association of health outcomes to nativity/acculturation and socioeconomic, cultural, and personal characteristics. Overall, the distribution of strengths (more social support, trust, perceived personal opportunities and less perceived victimization) reflected a nativity-based income gradient and an education gradient reflecting language use. Health outcomes varied by nativity/acculturation after controlling for socioeconomic, cultural, and personal characteristics. Physical health differed by nativity, supporting the healthy migrant hypothesis, while nativity-based differences in mental health were explained by socioeconomic and personal characteristics. SRH varied by language use, suggesting a culturally conditioned response. The socioeconomic, cultural, and personal factors affected health outcomes differently. These findings suggest a complicated interaction between nativity, acculturation, and economic factors in determining social and personal strengths and their influences on health. (PsycINFO Database Record (c) 2019 APA, all rights reserved)</t>
  </si>
  <si>
    <t>http://search.ebscohost.com.proxy-ub.rug.nl/login.aspx?direct=true&amp;db=psyh&amp;AN=2004-17923-007&amp;site=ehost-live&amp;scope=site</t>
  </si>
  <si>
    <t>Sojourners in this place: An explanatory sequential mixed-methods study examining foreign-born and immigrant experiences of acculturation and professional identity development in counseling.</t>
  </si>
  <si>
    <t>Attia, Mina Makram</t>
  </si>
  <si>
    <t>2019-68372-261</t>
  </si>
  <si>
    <t>Acculturation; Counseling; Immigration; Professional Development; Adulthood (18 yrs &amp; older)</t>
  </si>
  <si>
    <t>There are 42 million foreign-born individuals residing in the United States (U.S. Census Bureau, 2013), making up a total of 13% of the population. Within the counseling profession, the latest demographic information (Data USA, 2017) reports that Caucasians make up 70.4% of counselors in the United States while African Americans make up 19.5%, Asians 3.4%, and shared ethnicity is 3 %. American Indians make up 0.6%, Hawaiian 0.1%, and the remainder (2.8%) are identified as 'other.' The immigration experience is marked by a sense of loss and a process of acculturation. However, there is scant literature that discusses the adjustment experiences of immigrant counselors (Kissil, Niño, &amp; Davey, 2013), particularly examining acculturation and professional identity development. The purpose of this study was to provide insights on whether acculturation impacts professional identity and explore the overall acculturative and professional identity development experiences of foreign-born individuals in the counseling profession. A sequential explanatory mixed-methods design was used. The quantitative portion of the study was completed by 60 online participants. From those who participated, 37 fully completed the survey (N = 37). Professional identity was measured using the Professional Identity Scale in Counseling (Woo, 2013) and acculturation was measured using the American International Relations Scale (Sodowsky &amp; Plake, 1991). Follow up phone interviews were conducted with 6 participants. Quantitative findings for this study suggest that while no significant correlation exists between overall acculturation scores as measured by the American International Relations Scale (AIRS) and professional identity scores as measured by the Professional Identity Scale in Counseling (PISC), several significant relationships were found between demographic variables. Thematic findings from the interviews are discussed and provide a rich understanding of acculturation being a dynamic process as well as the simultaneous nature of professional identity development and acculturation. Limitations are examined in detail with recommendations for future direction. Implications specific to counselor education were sorted into five categories: Continuous acculturation, foreigner imposter syndrome, boxed identity, western training philosophy, and promoting and diversifying the counseling field. (PsycINFO Database Record (c) 2020 APA, all rights reserved)</t>
  </si>
  <si>
    <t>http://search.ebscohost.com.proxy-ub.rug.nl/login.aspx?direct=true&amp;db=psyh&amp;AN=2019-68372-261&amp;site=ehost-live&amp;scope=site</t>
  </si>
  <si>
    <t>Sojourners’ second language learning and integration. The moderating effect of multicultural personality traits.</t>
  </si>
  <si>
    <t>van Niejenhuis, Coby; Otten, Sabine; Flache, Andreas</t>
  </si>
  <si>
    <t>2018-08877-008</t>
  </si>
  <si>
    <t>10.1016/j.ijintrel.2018.01.001</t>
  </si>
  <si>
    <t>Foreign Language Education; Personality Traits; Social Integration; Multiculturalism; Identification; Human Migration; Ingroup Outgroup; Test Construction; Adulthood (18 yrs &amp; older); Young Adulthood (18-29 yrs); Male; Female</t>
  </si>
  <si>
    <t>This study examines the role of trainable intercultural personality traits in the widely assumed link between immigrants’ second language (L2) learning and their cultural integration in the host country. The research was based on data of temporary immigrants (sojourners), being international students who reside in the Netherlands and participants of a Dutch language course (total N = 163). Questionnaires were used to collect data at two time points (time lag: 3 months). Findings from multiple regression analyses reveal that an increase in L2 proficiency is related to a positive change in two indicators of cultural integration: identification with the host society and attitudes towards the host culture. An increase in L2 proficiency appears to be related to a positive change in terms of identification, regardless of sojourners’ personality traits. With respect to attitudes towards the host culture, however, we find that increasing L2 proficiency only goes together with a positive change in attitudes towards the host culture for sojourners with a high degree of social initiative. Another notable finding is that, in the time period that this study was conducted, sojourners with a high degree of openness became more positive in their attitudes towards the host culture, regardless of the progress they made in terms of L2 proficiency. Results from this study cautiously suggest the importance of social perceptual personality traits in the cultural integration of sojourners. In line with this, institutional policies on the L2 learning of sojourners, including the training of social perceptual personality traits, could be recommendable. (PsycINFO Database Record (c) 2018 APA, all rights reserved)</t>
  </si>
  <si>
    <t>http://search.ebscohost.com.proxy-ub.rug.nl/login.aspx?direct=true&amp;db=psyh&amp;AN=2018-08877-008&amp;site=ehost-live&amp;scope=site</t>
  </si>
  <si>
    <t>Somatic and emotional well-being among Turkish immigrants in Belgium: Acculturation or culture?</t>
  </si>
  <si>
    <t>Beirens, Koen; Fontaine, Johnny R. J.</t>
  </si>
  <si>
    <t>2010-25384-004</t>
  </si>
  <si>
    <t>10.1177/0022022110361773</t>
  </si>
  <si>
    <t>Acculturation; Culture (Anthropological); Emotional States; Immigration; Well Being; Cross Cultural Psychology; Adulthood (18 yrs &amp; older); Young Adulthood (18-29 yrs); Thirties (30-39 yrs); Middle Age (40-64 yrs); Aged (65 yrs &amp; older); Male; Female</t>
  </si>
  <si>
    <t>The present studies investigate differences in well-being between Turkish immigrants, Belgian majority members, and Turkish majority members. Furthermore, the relationships between two acculturation dimensions (adaptation and maintenance) and well-being is investigated within the immigrant group. In a first study, somatic well-being is studied in a sample of 519 Belgian majority members, 229 Turkish immigrants, and 232 Turkish majority members. Turkish immigrants reported the most somatic complaints, followed by Turkish majorities and Belgian majorities. No relationships with acculturation were found. In a second study, emotional well-being (sadness/anxiety, anger, and positive emotions) was investigated in 519 Belgians, 151 Turkish immigrants, and 200 Turkish majority members. No differences were found for sadness/anxiety. Turkish majority members report less anger than the other two groups. For positive emotions, Turkish majority members score the lowest, followed by the Turkish immigrant group and the Belgian majority members. In the immigrant group only adaptation was associated with more positive emotions. Both studies demonstrate that indices of well-being behave differently in cross-cultural comparative research. (PsycINFO Database Record (c) 2018 APA, all rights reserved)</t>
  </si>
  <si>
    <t>http://search.ebscohost.com.proxy-ub.rug.nl/login.aspx?direct=true&amp;db=psyh&amp;AN=2010-25384-004&amp;site=ehost-live&amp;scope=site</t>
  </si>
  <si>
    <t>Some factors that retard or accelerate the rate of acculturation, with special reference to Hungarian immigrants.</t>
  </si>
  <si>
    <t>Weinstock, S. A.</t>
  </si>
  <si>
    <t>Human Relations</t>
  </si>
  <si>
    <t>1965-07554-001</t>
  </si>
  <si>
    <t>10.1177/001872676401700402</t>
  </si>
  <si>
    <t>Acculturation; Achievement Motivation; Cynicism; Immigration</t>
  </si>
  <si>
    <t>Factors influencing the acculturation of post-1956 Hungarian refugees were studied. 53 refugees were interviewed and acculturation was measured by the Campisi Scale and an Information Scale developed for this purpose. These 2 measures yielded a combined index of acculturation. Some of the results indicate that cynicism, high achievement motivation, and an emphasis on material possessions are positively related to acculturation. These factors are conceptualized in terms of 'role-elements.' (55 ref.) (PsycINFO Database Record (c) 2016 APA, all rights reserved)</t>
  </si>
  <si>
    <t>http://search.ebscohost.com.proxy-ub.rug.nl/login.aspx?direct=true&amp;db=psyh&amp;AN=1965-07554-001&amp;site=ehost-live&amp;scope=site</t>
  </si>
  <si>
    <t>'Some of my best friends are....': Interracial friendships, class, and segregation in America.</t>
  </si>
  <si>
    <t>de Souza Briggs, Xavier</t>
  </si>
  <si>
    <t>City &amp; Community</t>
  </si>
  <si>
    <t>2007-18504-001</t>
  </si>
  <si>
    <t>10.1111/j.1540-6040.2007.00228.x</t>
  </si>
  <si>
    <t>Friendship; Racial and Ethnic Groups; Racial and Ethnic Differences; Social Class; Social Integration; Social Identity; Society; Adulthood (18 yrs &amp; older); Young Adulthood (18-29 yrs); Thirties (30-39 yrs); Middle Age (40-64 yrs); Aged (65 yrs &amp; older)</t>
  </si>
  <si>
    <t>Ties among persons of different backgrounds, when such ties act as social bridges, play a vital role in diverse societies--expanding identities, opening insular communities of interest, containing intergroup conflicts, and reducing inequalities. Using a phone survey of 29 city-regions matched with census data, this study analyzes predictors of interracial friendships for Whites, Blacks, Asians, and Hispanics, with single-and multilevel path models. Results underscore the social significance of the workplace and of civic involvement. Those who report ties to other races tend to be 'joiners,' in the broad sense: Involvement in nonreligious groups, socializing with coworkers, and having more friends are robust predictors for all racial groups. These are strongly associated with each other and with higher socioeconomic status, highlighting a powerful class dimension to accessing intergroup ties. But macro-level opportunity for contact (metro-level racial makeup) dominates the variation in friendship exposure patterns for Whites, whereas associations and other 'substructures' are more predictive for minorities. Consistent with immigrant assimilation theory, among minorities, sharing neighborhoods with Whites remains an important--and apparently unique--social marker for the personal relationships of Blacks. (PsycINFO Database Record (c) 2016 APA, all rights reserved)</t>
  </si>
  <si>
    <t>http://search.ebscohost.com.proxy-ub.rug.nl/login.aspx?direct=true&amp;db=psyh&amp;AN=2007-18504-001&amp;site=ehost-live&amp;scope=site</t>
  </si>
  <si>
    <t>South Asian dietary patterns and their association with risk factors for the metabolic syndrome.</t>
  </si>
  <si>
    <t>Garduño‐Diaz, S. D.; Khokhar, S.</t>
  </si>
  <si>
    <t>2013-09113-005</t>
  </si>
  <si>
    <t>10.1111/j.1365-277X.2012.01284.x</t>
  </si>
  <si>
    <t>Eating Behavior; Metabolic Syndrome; Risk Factors; South Asian Cultural Groups; Caffeine; Body Fat; Adulthood (18 yrs &amp; older); Thirties (30-39 yrs); Male; Female</t>
  </si>
  <si>
    <t>Background: Certain dietary patterns have been associated with higher risk of noncommunicable diseases, with South Asians identified as a high-risk group. The present study aimed to identify the association between dietary patterns and the metabolic syndrome (MS) in South Asians living in the UK. Methods: Dietary patterns were derived by principal component analysis from 15 different food groups using an ethnic-specific food frequency questionnaire. MS risk factors, including obesity and hypertension, were measured, whereas existing conditions of dyslipidaemia and hyperglycaemia were self-reported. Participants (n = 100) were divided into quartiles based on dietary factor scores and the link between dietary patterns and risk factors was investigated. Results: Three different patterns were derived, which together explained 46% of the total diet variation; eastern pattern, mixed pattern and western pattern. An inverse correlation was found between the eastern pattern and education P = 0.05). A direct correlation was found between the western pattern and physical activity (P = 0.05) and the overall risk of MS (P = 0.05). Body composition was altered as residence time in the UK increased, with a reduction in muscle mass (29–26%) and an increase in body fat (31–37%). Diagnosis criteria for MS were found in 20% of the participants. Conclusions: Dietary acculturation, including a reduction in vegetarianism, an increased intake of caffeinated drinks and altered meal patterns, may be associated with the higher prevalence of MS in migrant South Asians in the UK. (PsycINFO Database Record (c) 2016 APA, all rights reserved)</t>
  </si>
  <si>
    <t>http://search.ebscohost.com.proxy-ub.rug.nl/login.aspx?direct=true&amp;db=psyh&amp;AN=2013-09113-005&amp;site=ehost-live&amp;scope=site</t>
  </si>
  <si>
    <t>Sport participation and acculturative stress of young migrants in Greece: The role of sport motivational environment.</t>
  </si>
  <si>
    <t>Morela, Eleftheria; Elbe, Anne-Marie; Theodorakis, Yannis; Hatzigeorgiadis, Antonis</t>
  </si>
  <si>
    <t>2019-34218-004</t>
  </si>
  <si>
    <t>10.1016/j.ijintrel.2019.04.003</t>
  </si>
  <si>
    <t>Acculturation; Athletic Participation; Human Migration; Sports; Stress; Environment; Test Construction; European Cultural Groups; Adolescence (13-17 yrs); Male; Female</t>
  </si>
  <si>
    <t>The purpose of the present study was to examine migrants’ level of acculturative stress in relation to sport participation, and to investigate the role of the sport motivational environment. Participants were 127 (60 girls) migrant high school students (M = 14.14, SD = 1.46 years of age). Among them, 48 were athletes competing in either team (N = 31) or individual sports (N = 17). All participants completed measures of acculturative stress, while those participating in organized sport additionally completed measures of autonomy supportive and controlling coaching behavior. The results revealed that young migrants who participated in sport showed lower levels of school-related stress and discrimination than those who did not participate in sports. Furthermore, autonomy-supportive coaching behavior was negatively related to acculturative stress, whereas controlling coaching style was positively related to acculturative stress. The results of the present study suggest that sport can serve as a buffer against acculturative stress and highlight the key role of the motivational environment in young athletes’ acculturation experiences. (PsycINFO Database Record (c) 2019 APA, all rights reserved)</t>
  </si>
  <si>
    <t>http://search.ebscohost.com.proxy-ub.rug.nl/login.aspx?direct=true&amp;db=psyh&amp;AN=2019-34218-004&amp;site=ehost-live&amp;scope=site</t>
  </si>
  <si>
    <t>Stability and change in ethnic labeling among adolescents from Asian and Latin American immigrant families.</t>
  </si>
  <si>
    <t>Fuligni, Andrew J.; Kiang, Lisa; Witkow, Melissa R.; Baldelomar, Oscar</t>
  </si>
  <si>
    <t>2008-09673-010</t>
  </si>
  <si>
    <t>10.1111/j.1467-8624.2008.01169.x</t>
  </si>
  <si>
    <t>Acculturation; Adolescent Attitudes; Ethnic Identity; Immigration; Asians; Latinos/Latinas; Adolescence (13-17 yrs); Male; Female</t>
  </si>
  <si>
    <t>An important question for the acculturation of adolescents from immigrant families is whether they retain ethnic labels that refer to their national origin (e.g., Mexican, Chinese) or adopt labels that are dominant in American society (e.g., Latino, Asian American, American). Approximately 380 adolescents from Asian and Latin American immigrant families selected ethnic labels during each of the 4 years of high school (age span = 14.87-17.82 years). Results indicated no normative trend either toward or away from identifying most closely with pan-ethnic or American ethnic labels. Significant numbers of adolescents changed their ethnic labels from year to year, however and these changes were associated with fluctuations in adolescents' ethnic affirmation and exploration and proficiency in their heritage languages. (PsycINFO Database Record (c) 2016 APA, all rights reserved)</t>
  </si>
  <si>
    <t>http://search.ebscohost.com.proxy-ub.rug.nl/login.aspx?direct=true&amp;db=psyh&amp;AN=2008-09673-010&amp;site=ehost-live&amp;scope=site</t>
  </si>
  <si>
    <t>Statistical analysis techniques based on cross-cultural research methods: Cross-cultural paradigms and intra-country comparisons.</t>
  </si>
  <si>
    <t>Mylonas, Kostas</t>
  </si>
  <si>
    <t>Psychology: The Journal of the Hellenic Psychological Society</t>
  </si>
  <si>
    <t>2010-11458-006</t>
  </si>
  <si>
    <t>Hellenic Psychological Society</t>
  </si>
  <si>
    <t>Acculturation; Countries; Cross Cultural Differences; Immigration; Statistical Analysis; Experimentation; Adolescence (13-17 yrs); Adulthood (18 yrs &amp; older); Young Adulthood (18-29 yrs); Thirties (30-39 yrs); Male; Female</t>
  </si>
  <si>
    <t>Accumulated cross-cultural research has shown that its methods can also apply within countries, especially as more and more different immigrants or sojourners flow into host countries and the need to deal at least with acculturation issues is pressing. Cross-cultural methodology approximates research on intra-country issues, since comparing groups with different characteristics within countries may also reflect different 'cultures' represented by each of the differential groups. A question of bias elimination is raised when such comparisons are attempted either under a Cross-Cultural or an intra-country scope. Taking the van de Vijver and Leung and the Poortinga and van de Vijver theories on bias in terms of culture as a starting point, a triple-fold paradigm employing factor analysis and other techniques is presented on: (a) the application of simple congruence coefficients in estimating factor similarity -that is, basic factor equivalence testing- along with a proposed method of taking advantage of the Tucker coefficient matrix for a set of two or more factor structures, (b) the within-country application of multilevel covariance structure analysis and Procrustean rotations for a set of between groups and pooled-within correlation matrices, and (c) the reduction of 'bias in terms of culture' by eliminating variance components through multivariate methods. By incorporating some of these methods in standard -within country- psychological research, we should be able to gain on theoretical and psychometric grounds and we may finally question the degree of construct similarity among groups within a country, which cannot be necessarily taken for granted. These considerations are closely related to the use of multilevel analyses, as these stem from Cross-Cultural Psychology through most forms of intracountry and/or inter-country comparisons. (PsycINFO Database Record (c) 2016 APA, all rights reserved)</t>
  </si>
  <si>
    <t>http://search.ebscohost.com.proxy-ub.rug.nl/login.aspx?direct=true&amp;db=psyh&amp;AN=2010-11458-006&amp;site=ehost-live&amp;scope=site</t>
  </si>
  <si>
    <t>Stereotype threat and the cognitive performance of adolescent immigrants: The role of cultural identity strength.</t>
  </si>
  <si>
    <t>Weber, Silvana; Appel, Markus; Kronberger, Nicole</t>
  </si>
  <si>
    <t>Contemporary Educational Psychology</t>
  </si>
  <si>
    <t>2015-35571-007</t>
  </si>
  <si>
    <t>10.1016/j.cedpsych.2015.05.001</t>
  </si>
  <si>
    <t>Adolescent Development; Immigration; Social Identity; Cultural Identity; Stereotyped Attitudes; Threat; Adolescence (13-17 yrs); Male; Female</t>
  </si>
  <si>
    <t>In many world regions students with certain immigrant backgrounds under perform in educational settings. Theory and research suggest that this achievement gap could be partially explained by stereotype threat. Stereotype threat is a detrimental psychological state that inhibits individuals who belong to a negatively stereotyped group at times of learning and performance. The aim of this work was to examine both the influence of students' residence culture identity strength and ethnic identity strength on their cognitive performance under threat. Two experimental studies, conducted in European secondary schools, are reported. Experiment 1 (N = 132) showed that in a situation of explicit stereotype threat, high identification of immigrants with their residence culture predicted better cognitive performance, independently of ethnic identity strength. Residence culture identity strength was unrelated to cognitive performance in a control condition or a more implicit threat condition. Experiment 2 (N = 152) included an experimental manipulation of residence culture identity strength. The results show that highlighting similarities with the residence culture (vs. highlighting differences) positively influences immigrant students' performance under threat. This research connects the stereotype threat framework with acculturation research, and points at ways to increase the educational achievement of immigrant students. (PsycInfo Database Record (c) 2020 APA, all rights reserved)</t>
  </si>
  <si>
    <t>http://search.ebscohost.com.proxy-ub.rug.nl/login.aspx?direct=true&amp;db=psyh&amp;AN=2015-35571-007&amp;site=ehost-live&amp;scope=site</t>
  </si>
  <si>
    <t>Stigma toward mental illness: A cross-cultural comparison of Taiwanese, Chinese immigrants to Australia and Anglo-Australians.</t>
  </si>
  <si>
    <t>Mellor, David; Carne, Lucy; Shen, Yu-Chun; McCabe, Marita; Wang, Liwei</t>
  </si>
  <si>
    <t>2013-06649-002</t>
  </si>
  <si>
    <t>10.1177/0022022112451052</t>
  </si>
  <si>
    <t>Acculturation; Cross Cultural Differences; Immigration; Mental Illness (Attitudes Toward); Stigma; Social Influences; Adulthood (18 yrs &amp; older); Male; Female</t>
  </si>
  <si>
    <t>This study investigated the relationship between culture and attitudes toward mental illness. In total, 196 men and 347 women were recruited from Australia and Taiwan. All participants completed a questionnaire assessing their attitudes toward mental illness. Australian-born Chinese and Chinese immigrants to Australia also completed a questionnaire assessing cultural values. Chinese immigrants to Australia and Taiwanese held more stigmatizing attitudes than Australian-born Chinese and Anglo-Australians. Australian-born Chinese adopted Australian cultural practices more than Chinese immigrants, but these groups did not differ in terms of adherence to Chinese cultural practices. The adoption of Australian cultural practices was significantly associated with lower stigmatizing attitudes. These findings reveal the influence of culture and acculturation processes on stigmatizing attitudes toward the mentally ill. (PsycINFO Database Record (c) 2016 APA, all rights reserved)</t>
  </si>
  <si>
    <t>http://search.ebscohost.com.proxy-ub.rug.nl/login.aspx?direct=true&amp;db=psyh&amp;AN=2013-06649-002&amp;site=ehost-live&amp;scope=site</t>
  </si>
  <si>
    <t>Stress and depressive symptoms in Latin Americans in Toronto.</t>
  </si>
  <si>
    <t>Ginieniewicz, Jorge; McKenzie, Kwame</t>
  </si>
  <si>
    <t>Ethnicity and Inequalities in Health and Social Care</t>
  </si>
  <si>
    <t>2013-19219-004</t>
  </si>
  <si>
    <t>10.1108/17570981211319401</t>
  </si>
  <si>
    <t>Immigration; Major Depression; Psychometrics; Stress; Latinos/Latinas; Acculturation; Symptoms; Adulthood (18 yrs &amp; older); Young Adulthood (18-29 yrs); Thirties (30-39 yrs); Middle Age (40-64 yrs); Male; Female</t>
  </si>
  <si>
    <t>Purpose: The paper’s aim is to determine whether the SAFE (acculturative stress), PHQ-9 (depressive symptoms) and MSPSS (individual social resources) scales are considered acceptable measures to be used in the Spanish-speaking Latin American immigrant population in Toronto. Design/methodology/approach: The PHQ9, MSPSS and SAFE were completed by a group of ten Spanish-speaking Latin Americans recruited through an organization that offers services to immigrants in Toronto. The need for clarification of questions was noted as well as the comments that respondents made to the process. Findings: Participants felt comfortable responding the questionnaire. There was little duplication when the three scales were used together. The average time to complete the survey was 21 minutes. Originality/value: There has been no community based quantitative study of mental health in the Spanish-speaking community in Toronto that has used the SAFE (acculturative stress), PHQ-9 (depressive symptoms) and MSPSS (individual social resources) scales. This pilot study tested the suitability of these scales with this population. The PHQ9, SAFE and MSPSS are acceptable scales to be used in surveys in the Spanish-speaking Latin American population in Toronto. (PsycINFO Database Record (c) 2019 APA, all rights reserved)</t>
  </si>
  <si>
    <t>http://search.ebscohost.com.proxy-ub.rug.nl/login.aspx?direct=true&amp;db=psyh&amp;AN=2013-19219-004&amp;site=ehost-live&amp;scope=site</t>
  </si>
  <si>
    <t>Stress and psychopathology in Latin-American immigrants: The role of coping strategies.</t>
  </si>
  <si>
    <t>Patiño, Camila; Kirchner, Teresa</t>
  </si>
  <si>
    <t>Psychopathology</t>
  </si>
  <si>
    <t>2011-02616-003</t>
  </si>
  <si>
    <t>10.1159/000255959</t>
  </si>
  <si>
    <t>Karger</t>
  </si>
  <si>
    <t>Coping Behavior; Immigration; Psychopathology; Stress; Latinos/Latinas; Adulthood (18 yrs &amp; older); Young Adulthood (18-29 yrs); Thirties (30-39 yrs); Middle Age (40-64 yrs); Aged (65 yrs &amp; older); Male; Female</t>
  </si>
  <si>
    <t>Introduction: Increased migration into Spain requires the development of preventive strategies that help both immigrants and the host society to deal with the associated risk factors and thus avoid the emergence of psychopathology. Objective: To determine the level of psychopathology in Latin-American immigrants who reside in Barcelona and its relationship to the coping strategies used to mitigate the effects of the stress linked to migration. Method: The sample comprised 210 Latin-American immigrants over the age of 18. Sampling was based on consecutive cases, and participants were contacted through an NGO. Results: Employment is the stressor that most affects immigrants. Psychopathological symptoms are common among the immigrant population, and there is a relationship between the use of avoidance coping strategies and greater symptomatology. The longer immigrants have been in the host country, the less they make use of approach strategies. Conclusions: The migratory process produces high levels of stress that are linked to psychopathology. Being subjected to a prolonged stressor has a destabilizing effect on both mental and physical health and can lead to a deterioration in social relationships due to more intense feelings of anger and frustration. Coping strategies appear to be more widely used among immigrants than in the indigenous population, and this may indicate the high levels of stress to which the former are subject and the attempts they make to deal with it. The limitations of the study include the source of data collection and the fact that most of the instruments used have not been validated in the participants’ countries of origin. (PsycINFO Database Record (c) 2016 APA, all rights reserved)</t>
  </si>
  <si>
    <t>http://search.ebscohost.com.proxy-ub.rug.nl/login.aspx?direct=true&amp;db=psyh&amp;AN=2011-02616-003&amp;site=ehost-live&amp;scope=site</t>
  </si>
  <si>
    <t>Stress is associated with unfavorable patterns of dietary intake among female Chinese immigrants.</t>
  </si>
  <si>
    <t>Tseng, Marilyn; Fang, Carolyn Y.</t>
  </si>
  <si>
    <t>2011-10797-005</t>
  </si>
  <si>
    <t>10.1007/s12160-010-9259-4</t>
  </si>
  <si>
    <t>Chinese Cultural Groups; Food Intake; Immigration; Stress; Weight Gain; Eating Behavior; Human Females; Adulthood (18 yrs &amp; older); Female</t>
  </si>
  <si>
    <t>Background: Chinese immigrants experience increased risk for weight gain and chronic disease after US migration. Whether psychosocial stress affects their eating behavior is unknown. Purpose: The purpose of this study is to examine psychosocial stress and dietary intake among 426 Chinese immigrant women in the Philadelphia region. Methods: Participants completed 4 days of dietary recalls and questionnaires assessing positive and negative life events in the past year and migration-related stressors. Results: In hierarchical linear regression models, positive life events were associated with higher energy intake (β = 21.1, p = 0.04). Migration-related stress was associated with lower total gram (β = −11.3, p &lt; 0.0001) and overall grain (β = −0.18, p = 0.03) intake and higher energy density (β = 0.002, p = 0.04) and percent energy from fat (β = 0.06, p = 0.05). Conclusions: Migration-related stress did not increase overall intake in terms of energy and total grams but selectively increased fat intake and energy density. Such dietary habits may have implications for future chronic disease risk in this immigrant population. (PsycINFO Database Record (c) 2018 APA, all rights reserved)</t>
  </si>
  <si>
    <t>http://search.ebscohost.com.proxy-ub.rug.nl/login.aspx?direct=true&amp;db=psyh&amp;AN=2011-10797-005&amp;site=ehost-live&amp;scope=site</t>
  </si>
  <si>
    <t>Stress, illness, and the social environment: Depressive symptoms among first generation Mandarin speaking Chinese in greater Los Angeles.</t>
  </si>
  <si>
    <t>Li, Yueling; Hofstetter, C. Richard; Irving, Veronica; Chhay, Doug; Hovell, Melbourne F.</t>
  </si>
  <si>
    <t>2014-46296-002</t>
  </si>
  <si>
    <t>10.1007/s10903-013-9953-y</t>
  </si>
  <si>
    <t>Chinese Cultural Groups; Health; Immigration; Major Depression; Stress; Social Environments; Adulthood (18 yrs &amp; older); Male; Female</t>
  </si>
  <si>
    <t>This study documents the indirect effects of social and environmental variables as mediated by immigrant stress and physical health. Using data from a large dual frame sample of first generation Mandarin speaking Chinese immigrants in metropolitan Los Angeles counties with the largest groups of Chinese immigrants, this study uses a path analytic approach to trace how predictors are related to depressive symptoms and to measure direct and indirect influences of variables. Although bivariate analyses suggested that many predictors were associated with depressive symptoms, multivariate path analysis revealed a more complex structure of mediated associations. In the multivariate path analysis only reports of physical health and immigrant stress were directly related to depressive symptoms (P &lt; 0.05), while acculturation, time in the US, income, US citizenship, and distance of persons on whom one could rely were related to stress (but not to physical health status) and only to depressive symptoms as mediated by stress. Age and educational attainment were related to health status (and to stress as mediated by physical health) and to depressive symptoms as mediated by both health and stress. These variables were also unrelated directly to health status and to depressive symptoms. Associations were evaluated using statistical significance, P &lt; 0.05. This study demonstrates the significance of stress and health as mediators of variables in the larger context of the physical environment and suggests that the mechanisms linking ecological characteristics of immigrants to depressive symptoms may be stress and physical health among immigrants. (PsycINFO Database Record (c) 2017 APA, all rights reserved)</t>
  </si>
  <si>
    <t>http://search.ebscohost.com.proxy-ub.rug.nl/login.aspx?direct=true&amp;db=psyh&amp;AN=2014-46296-002&amp;site=ehost-live&amp;scope=site</t>
  </si>
  <si>
    <t>Stressful life events, culture, and violence.</t>
  </si>
  <si>
    <t>Ngo, Hieu M.; Le, Thao N.</t>
  </si>
  <si>
    <t>2008-08363-001</t>
  </si>
  <si>
    <t>10.1007/s10903-006-9018-6</t>
  </si>
  <si>
    <t>Immigration; Social Support; Sociocultural Factors; Stress; Violence; Childhood (birth-12 yrs); School Age (6-12 yrs); Male; Female</t>
  </si>
  <si>
    <t>This study explored the contributions of stressful life events and their interactions with social support and cultural factors in predicting serious violence among American adolescent immigrants of Chinese and Southeast Asian origins. Youth differed in their exposure to stressors and how they responded to them. Cambodian and Laotian youth reported the highest levels of stressors, except for emotional abuse. Only physical abuse was an independent predictor of serious violence for all groups, except Chinese. Perceived social support buffered the effects of some stressors, whereas increased levels of acculturation, intergenerational/intercultural conflict, and individualism placed youth at increased risk for serious violence. The results suggest that the moderating effects of culture and social support need to be considered when examining the association between life stressors and serious violence for Chinese and Southeast Asian youth. (PsycINFO Database Record (c) 2016 APA, all rights reserved)</t>
  </si>
  <si>
    <t>http://search.ebscohost.com.proxy-ub.rug.nl/login.aspx?direct=true&amp;db=psyh&amp;AN=2008-08363-001&amp;site=ehost-live&amp;scope=site</t>
  </si>
  <si>
    <t>Stressors related to depression among elderly Korean immigrants.</t>
  </si>
  <si>
    <t>Lee, Young-Me; Holm, Karyn</t>
  </si>
  <si>
    <t>2012-00673-008</t>
  </si>
  <si>
    <t>10.3109/01612840.2011.618965</t>
  </si>
  <si>
    <t>Acculturation; Family; Immigration; Major Depression; Stress; Demographic Characteristics; Adulthood (18 yrs &amp; older); Aged (65 yrs &amp; older); Very Old (85 yrs &amp; older); Male; Female</t>
  </si>
  <si>
    <t>While depression in the elderly is well documented, little is known about depression in specific groups of immigrant elderly. In this study, 160 elderly Korean immigrants completed measures of depression, stressful life events, acculturative stress, family relationships, social support, and demographic variables. Findings revealed that income, acculturative stress, and living place were significant predictors of depression. As income declined, depression increased; living with one’s adult children was associated with less depression; depression increased in concert with acculturative stress. These findings suggest that maintaining family relationships may be a key factor in preventing and/or lessening depression in elderly Korean immigrants. (PsycINFO Database Record (c) 2016 APA, all rights reserved)</t>
  </si>
  <si>
    <t>http://search.ebscohost.com.proxy-ub.rug.nl/login.aspx?direct=true&amp;db=psyh&amp;AN=2012-00673-008&amp;site=ehost-live&amp;scope=site</t>
  </si>
  <si>
    <t>Stressors, coping resources, functioning, and role limitations among older Korean immigrants: Gender differences.</t>
  </si>
  <si>
    <t>Lee, Kyoung Hag; GlenMaye, Linnea Flynn</t>
  </si>
  <si>
    <t>Journal of Women &amp; Aging</t>
  </si>
  <si>
    <t>2014-04290-005</t>
  </si>
  <si>
    <t>10.1080/08952841.2014.858578</t>
  </si>
  <si>
    <t>Coping Behavior; Human Sex Differences; Immigration; Korean Cultural Groups; Stress; Aging; Social Support; Spirituality; Adulthood (18 yrs &amp; older); Aged (65 yrs &amp; older); Very Old (85 yrs &amp; older); Male; Female</t>
  </si>
  <si>
    <t>This study explored the differential impacts of stressors and coping resources on the functioning and roles of 246 older Korean immigrant men and women. Older Korean immigrant women were significantly more likely than men to have acculturation and socioeconomic stressors, physical/social functioning problems, and role limitations. English-language barriers and lack of transportation were significantly related to lower functioning and higher role limitations of older Korean women compared to those of older men. Providing social and health care services with bilingual and transportation services to older Korean immigrant women is recommended to increase their physical/social functioning and role performance. (PsycINFO Database Record (c) 2019 APA, all rights reserved)</t>
  </si>
  <si>
    <t>http://search.ebscohost.com.proxy-ub.rug.nl/login.aspx?direct=true&amp;db=psyh&amp;AN=2014-04290-005&amp;site=ehost-live&amp;scope=site</t>
  </si>
  <si>
    <t>Structural model of acculturation attitudes and related psychosocial variables: Empirical evidence in native Spaniards.</t>
  </si>
  <si>
    <t>Moreno, Pedro J. Pérez; Tejada, Antonio J. Rojas; Luque, Marisol Navas; Rojas, Oscar M. Lozano</t>
  </si>
  <si>
    <t>2014-19969-004</t>
  </si>
  <si>
    <t>Acculturation; Indigenous Populations; Psychosocial Factors; Immigration; Adulthood (18 yrs &amp; older); Male; Female</t>
  </si>
  <si>
    <t>This work falls within the framework of the study of acculturation processes of natives and immigrants. Its goal is to test an explanatory multi‐group model of natives' acculturation attitudes as a function of diverse psychosocial variables: Prejudice and natives' appraisal of their own culture (in a direct way) and inter‐group contact and perceived inter‐group similarity (in an indirect way). Participants were 499 Spaniards surveyed for their attitude towards Romanian immigrants and 493 towards Ecuadorian immigrants. The indicators used took into account three socio‐cultural spheres: peripheral, intermediate and central areas. This multi‐group model shows an adequate fit to the data. (PsycINFO Database Record (c) 2018 APA, all rights reserved)</t>
  </si>
  <si>
    <t>http://search.ebscohost.com.proxy-ub.rug.nl/login.aspx?direct=true&amp;db=psyh&amp;AN=2014-19969-004&amp;site=ehost-live&amp;scope=site</t>
  </si>
  <si>
    <t>Study on the change and acculturation of dietary pattern of Southeast Asian workers living in South Korea.</t>
  </si>
  <si>
    <t>Lee, Eun Jung; Lee, Kyung-Ran; Lee, Seung-Joo</t>
  </si>
  <si>
    <t>2017-34909-026</t>
  </si>
  <si>
    <t>10.1016/j.appet.2017.06.022</t>
  </si>
  <si>
    <t>Acculturation; Diets; Food; South Asian Cultural Groups; Adulthood (18 yrs &amp; older); Young Adulthood (18-29 yrs); Thirties (30-39 yrs); Middle Age (40-64 yrs); Male; Female</t>
  </si>
  <si>
    <t>This study analyzed the dietary pattern of Southeast Asian workers (Vietnamese, Thais, Cambodians and Myanmar) living in South Korea in order to recognize the dietary changes after they moved to South Korea. Questionnaires were completed by 251 Southeast Asian workers living in South Korea. Using a self-administered questionnaire, we assessed the diets before and after living in the hometown and in South Korea. Significant changes observed in the Southeast Asian workers were decreased in consumption frequency of fresh fruits, cooked vegetables, rice noodles, green tea and glutinous rice, and increase in consumption of Kimchi, seaweed, milk, coffee and pizza. These changes were attributed to rapid dietary acculturation. The frequencies of eating homemade food were significantly decreased after they came to Korea except for Thais. Thais showed the highest frequencies of eating homemade food daily among others. 28.2% of respondents said their health condition had deteriorated after living in South Korea due to difficulties to adapt Korean food, increased frequencies of eating instant food, and lacking exercises. By providing understanding of the dietary patterns of Southeast Asian workers, these results can be used for preliminary data to develop a program for their Korean food adaptation. (PsycInfo Database Record (c) 2020 APA, all rights reserved)</t>
  </si>
  <si>
    <t>http://search.ebscohost.com.proxy-ub.rug.nl/login.aspx?direct=true&amp;db=psyh&amp;AN=2017-34909-026&amp;site=ehost-live&amp;scope=site</t>
  </si>
  <si>
    <t>Studying immigrant integration through self-reported life satisfaction in the country of residence.</t>
  </si>
  <si>
    <t>Paparusso, Angela</t>
  </si>
  <si>
    <t>2018-15541-001</t>
  </si>
  <si>
    <t>10.1007/s11482-018-9624-1</t>
  </si>
  <si>
    <t>Immigration; Life Satisfaction; Self-Report; Social Integration; Countries; Human Capital; Adulthood (18 yrs &amp; older); Male; Female</t>
  </si>
  <si>
    <t>Aim of this paper is to measure the effect of demographic, human capital and ‘immigration’ variables on the self-reported life satisfaction of young and adult immigrants residing in seven European countries, using the Immigrant Citizens Survey (ICS). Self-reported life satisfaction has been used to evaluate the immigrants’ integration within their country of residence, as it is commonly employed to estimate the perceived quality of life within a country or a specific social group. Results show that self-reported life satisfaction strongly depends on immigrants’ demographic characteristics and human capital factors, such as age, marital status, current economic situation and perceived financial well-being. ‘Immigration’ variables also play a role in determining life satisfaction, thus proving that conditions at both the origin and destination are important in determining immigrants’ self-reported life satisfaction. In particular, legal status and country of residence play a significant role in defining immigrants’ life satisfaction, thus demonstrating that the rights, resources and restrictions immigrants find within their country of residence determine their subjective experience of integration. (PsycInfo Database Record (c) 2020 APA, all rights reserved)</t>
  </si>
  <si>
    <t>http://search.ebscohost.com.proxy-ub.rug.nl/login.aspx?direct=true&amp;db=psyh&amp;AN=2018-15541-001&amp;site=ehost-live&amp;scope=site</t>
  </si>
  <si>
    <t>Substance use and discrimination among Southeast Asian and Latino immigrants.</t>
  </si>
  <si>
    <t>Ramakrishnan, Muthukrishnan</t>
  </si>
  <si>
    <t>2015-99040-408</t>
  </si>
  <si>
    <t>Acculturation; Discrimination; Southeast Asian Cultural Groups; Latinos/Latinas; Immigration; Male; Female</t>
  </si>
  <si>
    <t>For many immigrants the process of acculturation can be stressful and previous studies have shown that the longer immigrants live in the U.S. the greater their risk for substance use. The primary objective of this study was to examine the relationships between place of birth, length of residency, discrimination and substance use among Southeast Asian and Latino immigrants. This study examined secondary data that originated from a population-based health survey and focused on respondents who took the survey in Hmong (N=158), Vietnamese (N=148), and Spanish (N=341). Results indicated that U.S.-born respondents were significantly associated with both higher alcohol and tobacco use than foreign-born respondents. Results also indicated that U.S.-born respondents perceived significantly higher discrimination than foreign-born respondents. Results indicated that while discrimination was associated with both higher alcohol and tobacco use for foreign-born Vietnamese and Latino men, discrimination was associated only with higher alcohol use for foreign-born Hmong men. For women, discrimination was associated with both higher alcohol and tobacco use only for foreign-born Latino women, but not for foreign-born Hmong and Vietnamese women. As expected, results indicated a positive relationship between length of residency in the U.S. and alcohol use for the entire sample except for foreign-born Hmong men. While Hmong, Vietnamese, and Latino immigrant men had a negative relationship between length of residency and tobacco use, the study found that Vietnamese and Latino immigrant women had a positive relationship between length of residency and tobacco use. The study also found that the relationship between length of residency in the U.S. and alcohol use is partially mediated by discrimination only for foreign-born Latino men and women. The present study found a positive association between chronic discrimination and engagement in heavy drinking for foreign-born Southeast Asian men and Latino men and women. Findings from this study may alert clinicians to be sensitive to discrimination experienced amongst Southeast Asian and Latino populations (even among the U.S.-born individuals) and to motivate them to identify potential stressors for U.S.-born Hmong, Vietnamese, and Latino individuals and the associated risk for psychological stressors. High prevalence of discrimination found in this sample of Southeast Asian and Latino immigrants may further strengthen the literature in demonstrating the significance of discrimination and shape mental health outreach services for underserved immigrant populations. The effectiveness of tobacco prevention strategies targeting Southeast Asian and Latino immigrants may increase when they take into consideration the findings of this study which suggest that heavier tobacco users may be less acculturated men and more acculturated women. (PsycINFO Database Record (c) 2016 APA, all rights reserved)</t>
  </si>
  <si>
    <t>http://search.ebscohost.com.proxy-ub.rug.nl/login.aspx?direct=true&amp;db=psyh&amp;AN=2015-99040-408&amp;site=ehost-live&amp;scope=site</t>
  </si>
  <si>
    <t>Substance use, age at migration, and length of residence among adult immigrants in the United States.</t>
  </si>
  <si>
    <t>Li, Kelin; Wen, Ming</t>
  </si>
  <si>
    <t>2015-03352-021</t>
  </si>
  <si>
    <t>10.1007/s10903-013-9887-4</t>
  </si>
  <si>
    <t>Acculturation; Binge Drinking; Immigration; Tobacco Smoking; Adulthood (18 yrs &amp; older); Male; Female</t>
  </si>
  <si>
    <t>In this study we scrutinize prevalence of current smoking and binge drinking among adult US immigrants, and examine whether age at migration predicts these two behaviors and moderates the effect of length of residence. Immigrant groups include those from Latin America/Caribbean, East and South Asia, Sub-Saharan Africa, Europe/Central Asia, and Middle East/North Africa. Multivariate logistic regressions are estimated using cross-sectional data from the New Immigrant Survey (N = 7,397). Results show that patterns of smoking and binge drinking vary by gender and by region of origins. In addition, arriving at age 0–9 are directly associated with higher odds of binge drinking among adult women. Among adult men, age at migration moderates the association between length of residence and substance use. Specifically, length of residence has more detrimental effects for adolescent immigrants (arriving at age 10–18) on smoking, while its detrimental effects are more pronounced for childhood immigrants (arriving at age 0–9) on binge drinking. We interpret our findings within the critical period model in epidemiological research, concluding that adolescence and childhood are critical life stages that are associated with differential effects of length of residence when looking at smoking and binge drinking among immigrant men. (PsycINFO Database Record (c) 2016 APA, all rights reserved)</t>
  </si>
  <si>
    <t>http://search.ebscohost.com.proxy-ub.rug.nl/login.aspx?direct=true&amp;db=psyh&amp;AN=2015-03352-021&amp;site=ehost-live&amp;scope=site</t>
  </si>
  <si>
    <t>Suburban residence of black Caribbean and Black African immigrants: A test of the spatial assimilation model.</t>
  </si>
  <si>
    <t>Argeros, Grigoris</t>
  </si>
  <si>
    <t>2014-02541-004</t>
  </si>
  <si>
    <t>10.1111/cico.12035</t>
  </si>
  <si>
    <t>Acculturation; Ethnic Identity; Immigration; Socioeconomic Status; Suburban Environments; Blacks; Adulthood (18 yrs &amp; older); Young Adulthood (18-29 yrs); Thirties (30-39 yrs); Middle Age (40-64 yrs); Male; Female</t>
  </si>
  <si>
    <t>The present study investigates nativity status and place‐of‐birth differences in suburban residence among black ethnic groups. The main objective is to evaluate the extent to which the relationship between black immigrants’ individual‐level socioeconomic status characteristics and suburban outcomes conforms to the tenets of the spatial assimilation model. Using micro‐data from the 2006–2010 American Community Survey, we employed logistic regression models to determine the effects of the relevant predictors on suburban residence of whites and black ethnic groups. The results reveal that black immigrants’ suburban outcomes vary depending upon the racial/ethnic background and nativity status of the reference group. While both black Caribbean and African immigrants are less likely to reside in the suburbs than native‐born white households, they are more likely to do so than native‐born black Americans, even when controlling for differences in income, education, and homeownership. We also find black immigrants’ probability of suburban residence varies by English language proficiency and length of time spent in the United States in ways that contradict the tenets of the spatial assimilation model. (PsycINFO Database Record (c) 2016 APA, all rights reserved)</t>
  </si>
  <si>
    <t>http://search.ebscohost.com.proxy-ub.rug.nl/login.aspx?direct=true&amp;db=psyh&amp;AN=2014-02541-004&amp;site=ehost-live&amp;scope=site</t>
  </si>
  <si>
    <t>Sudanese in Australia: Renewal and hope.</t>
  </si>
  <si>
    <t>Murray, Kate Elizabeth</t>
  </si>
  <si>
    <t>2010-99020-324</t>
  </si>
  <si>
    <t>Posttraumatic Stress Disorder; Refugees; Hope; Qualitative Methods</t>
  </si>
  <si>
    <t>The country of Sudan has experienced violent conflict for much of the past 50 years, killing and displacing millions of Sudanese and generating widespread diaspora. In recent years, international humanitarian resettlement programs have increased the numbers of Africans entering third country resettlement programs; however, very little has been written about the experiences of African adults in resettlement as compared to other refugee groups. The current study used quantitative and qualitative methods to enhance understanding of the refugee experience among a specific group of refugees, adults from Sudan resettled in Brisbane, Australia. Ninety Sudanese adults (Mean age = 34.19) participated in the quantitative study, with 10 participants from that group purposefully selected to complete the semi-structured qualitative interview. Participants represented 20 different ethnic groups and reported disparate backgrounds and experiences both in Sudan and Australia, highlighting the incredibly heterogeneity of the Sudanese community. Quantitative participants reported an average 5.54 traumatic experiences on the Harvard Trauma Questionnaire (HTQ) and approximately one-quarter of the sample meeting recommended cut-off criteria for significant psychological distress on the Hopkins Symptoms Checklist (HSCL) and symptoms of post-traumatic stress disorder (PTSD) on the HTQ. Individuals with higher rates of prior trauma, younger adults, and people who had spent time in a refugee camp reported higher levels of psychological distress. These groups also reported higher frequencies of discrimination, with one-third of the sample reporting experiences of discrimination several times per month. During data collection in 2007, there was significant public debate regarding the integration of the Sudanese community, mirroring debates worldwide as nations struggle with public discourse surrounding changes in global migration. In the current sample, the majority of participants (54.4%) reported integration as their method of acculturation, with individuals who had been in Australia longer, having higher levels of education and greater social connectivity within both the Sudanese and Australian communities being more likely to endorse integration. The ten qualitative participants emphasized opportunities for advancement such as through education and employment opportunities as a highlight and experiences of discrimination as a low point in resettlement, suggesting the importance of social context and opportunities for advancement in resettlement. (PsycINFO Database Record (c) 2019 APA, all rights reserved)</t>
  </si>
  <si>
    <t>http://search.ebscohost.com.proxy-ub.rug.nl/login.aspx?direct=true&amp;db=psyh&amp;AN=2010-99020-324&amp;site=ehost-live&amp;scope=site</t>
  </si>
  <si>
    <t>Sudanese perspectives on resettlement in Australia.</t>
  </si>
  <si>
    <t>Murray, Kate E.</t>
  </si>
  <si>
    <t>2013-30315-004</t>
  </si>
  <si>
    <t>10.1375/prp.4.1.30</t>
  </si>
  <si>
    <t>Acculturation; Communities; Psychological Stress; Refugees; Social Processes; Adulthood (18 yrs &amp; older); Male; Female</t>
  </si>
  <si>
    <t>Resettlement programs for people from a refugee background must respond to a variety of concerns as people from diverse backgrounds and often longstanding periods of upheaval and hardship enter their new resettlement communities. Host countries approach the demands of resettlement through varying programs and policies and those differences across countries can profoundly affect the newcomers’ experiences. The current study employs quantitative and qualitative methods to examine the individual and contextual factors that influence the resettlement experience for adults from Sudan being resettled in Queensland, Australia. Ninety Sudanese adults were recruited through snowball sampling techniques for the quantitative study, with 10 individuals purposefully selected to complete the semistructured qualitative interview. In the quantitative sample, 25 to 30% of participants reported significant symptoms of psychological distress and frequent experiences of discrimination, and the majority of participants reported integration (identifying with both Australian and Sudanese cultures) as their method of acculturation. Participants reported feeling initially welcomed into Australia, with positive influences including bonding and bridging capital, which helped them in their adaptation, and negative influences including problems with the resettlement programs and experiences of discrimination. The findings underscore the importance of sociopolitical context on refugee experiences of the resettlement process. (PsycINFO Database Record (c) 2016 APA, all rights reserved)</t>
  </si>
  <si>
    <t>http://search.ebscohost.com.proxy-ub.rug.nl/login.aspx?direct=true&amp;db=psyh&amp;AN=2013-30315-004&amp;site=ehost-live&amp;scope=site</t>
  </si>
  <si>
    <t>Sudanese refugee youth and educational success: The role of church and youth group in supporting cultural and academic adjustment and schooling achievement.</t>
  </si>
  <si>
    <t>Wilkinson, Jane; Santoro, Ninetta; Major, Jae</t>
  </si>
  <si>
    <t>2017-19692-001</t>
  </si>
  <si>
    <t>10.1016/j.ijintrel.2017.04.003</t>
  </si>
  <si>
    <t>Academic Achievement; Refugees; Religion; Education; Social Capital; Childhood (birth-12 yrs); School Age (6-12 yrs); Adolescence (13-17 yrs); Adulthood (18 yrs &amp; older); Male; Female</t>
  </si>
  <si>
    <t>There is a burgeoning body of research about refugee youth that adopts a deficit approach by focusing on the problems and barriers youth encounter in adjusting culturally and academically to schools. Less research takes an asset approach through an examination of the strengths refugee youth bring to formal schooling and how these assets can be built upon to support academic achievement and cultural adjustment. In this article, we challenge these deficit notions, through examining the everyday spaces inhabited by Sudanese refugee youth living in regional New South Wales, Australia. Our research poses the question: what role do institutions outside school play in supporting Sudanese refugee youth as they move from one culture to another? The question is significant because little research has examined the role played by institutions outside school, e.g., church, youth groups and sporting associations in fostering the social and cultural capital required for refugee youth to integrate within the broader community, and to engage successfully in schooling. Drawing on Bourdieuian concepts of cultural and social capital and habitus, we suggest that religious affiliation enabled the young people to access social capital through 'prosocial and proeducational moral directives' (Barrett, 2010; p. 467). Moreover, religious involvement provided refugee youth with access to socially legitimised forms of cultural capital. These forms of capital shaped the students’ habitus and contributed to school adjustment and achievement. We conclude that future research is needed to examine the role that church and other institutions outside school play in contributing to cultural and academic adjustment. (PsycINFO Database Record (c) 2018 APA, all rights reserved)</t>
  </si>
  <si>
    <t>http://search.ebscohost.com.proxy-ub.rug.nl/login.aspx?direct=true&amp;db=psyh&amp;AN=2017-19692-001&amp;site=ehost-live&amp;scope=site</t>
  </si>
  <si>
    <t>Suicidality and migration among adolescents in Hong Kong.</t>
  </si>
  <si>
    <t>Kwan, Y. K.; Ip, W. C.</t>
  </si>
  <si>
    <t>Death Studies</t>
  </si>
  <si>
    <t>2006-22223-003</t>
  </si>
  <si>
    <t>10.1080/07481180600993144</t>
  </si>
  <si>
    <t>Adolescent Development; Human Migration; Suicidal Ideation; Suicidality; Childhood (birth-12 yrs); School Age (6-12 yrs); Adolescence (13-17 yrs); Adulthood (18 yrs &amp; older); Young Adulthood (18-29 yrs); Male; Female</t>
  </si>
  <si>
    <t>Suicide as a cause of death among adolescents and migration as a component of population have been growing in importance. Very little research has been conducted on the connections between migration and suicidality among adolescents in Hong Kong, and so is the aim of this article. It uses census and registration data to study suicide mortality, and sample survey data collected for this purpose to investigate suicide attempt, suicide ideation, and self-injurious behavior. Relations between suicidality and socio-demographic/psychological factors replicated those found in the literature. Duration of residence was found important for the study of suicide among migrants. In both the bivariate and multivariate analyses, although the suicidality levels for short-duration (less than 10 years) adolescent migrants were very much lower than the local-born counterparts, those for the long-duration (10 years or more) migrants were very much higher. The findings support the Healthy Migrant Hypothesis and other related hypotheses in migrant mortality studies. They also reveal, in the light of the Integration Theory of Suicide, the problem of migrant integration into the host culture and society, an important social problem for the government to solve. (PsycINFO Database Record (c) 2019 APA, all rights reserved)</t>
  </si>
  <si>
    <t>http://search.ebscohost.com.proxy-ub.rug.nl/login.aspx?direct=true&amp;db=psyh&amp;AN=2006-22223-003&amp;site=ehost-live&amp;scope=site</t>
  </si>
  <si>
    <t>Suicidality, ethnicity and immigration in the USA.</t>
  </si>
  <si>
    <t>Borges, G.; Orozco, R.; Rafful, C.; Miller, E.; Breslau, J.</t>
  </si>
  <si>
    <t>Psychological Medicine</t>
  </si>
  <si>
    <t>2012-11782-005</t>
  </si>
  <si>
    <t>10.1017/S0033291711002340</t>
  </si>
  <si>
    <t>Attempted Suicide; Cross Cultural Differences; Epidemiology; Immigration; Suicidal Ideation; Blacks; Suicide; Suicidality</t>
  </si>
  <si>
    <t>Background: Suicide is the 11th leading cause of death in the USA. Suicide rates vary across ethnic groups. Whether suicide behavior differs by ethnic groups in the USA in the same way as observed for suicide death is a matter of current discussion. The aim of this report was to compare the lifetime prevalence of suicide ideation and attempt among four main ethnic groups (Asians, Blacks, Hispanics, and Whites) in the USA. Method: Suicide ideation and attempts were assessed using the World Mental Health version of the Composite International Diagnostic Interview (WMH-CIDI). Discrete time survival analysis was used to examine risk for lifetime suicidality by ethnicity and immigration among 15 180 participants in the Collaborative Psychiatric Epidemiological Surveys (CPES), a group of cross-sectional surveys. Results: Suicide ideation was most common among Non-Hispanic Whites (16.10 %), least common among Asians (9.02%) and intermediate among Hispanics (11.35%) and Non-Hispanic Blacks (11.82 %). Suicide attempts were equally common among Non-Hispanic Whites (4.69 %), Hispanics (5.11%) and Non-Hispanic Blacks (4.15%) and less common among Asians (2.55 %). These differences in the crude prevalence rates of suicide ideation decreased but persisted after control for psychiatric disorders, but disappeared for suicide attempt. Within ethnic groups, risk for suicidality was low among immigrants prior to migration compared to the US born, but equalized over time after migration. Conclusions: Ethnic differences in suicidal behaviors are explained partly by differences in psychiatric disorders and low risk prior to arrival in the USA. These differences are likely to decrease as the US-born proportion of Hispanics and Asians increases. (PsycINFO Database Record (c) 2019 APA, all rights reserved)</t>
  </si>
  <si>
    <t>http://search.ebscohost.com.proxy-ub.rug.nl/login.aspx?direct=true&amp;db=psyh&amp;AN=2012-11782-005&amp;site=ehost-live&amp;scope=site</t>
  </si>
  <si>
    <t>Support for multiculturalism in the Netherlands.</t>
  </si>
  <si>
    <t>Schalk-Soekar, Saskia R. G.; Breugelmans, Seger M.; van de Vijver, Fons J. R.</t>
  </si>
  <si>
    <t>International Social Science Journal</t>
  </si>
  <si>
    <t>2009-02547-004</t>
  </si>
  <si>
    <t>10.1111/j.1468-2451.2009.00698.x</t>
  </si>
  <si>
    <t>Acculturation; Immigration; Strategies; Multiculturalism; Adulthood (18 yrs &amp; older); Male; Female</t>
  </si>
  <si>
    <t>A study on the support for multiculturalism was carried out among 250 members of the majority group in a Dutch city. The concept of multiculturalism was found to be one-dimensional. The endorsement of multiculturalism was moderate and varied across domains; the respondents were neutral towards the (dis)approval of cultural diversity and the acculturation strategies of majority group members, positive towards equal societal participation and interaction between majority group members and immigrants, and negative about the acculturation strategies of immigrants. Further, gender, age and income showed no influence on multiculturalism, while education had a positive effect. The present study replicated an earlier study (in 1999) carried out before the murder on Fortuyn (a Dutch politician). The previous and current studies found identical scores on multiculturalism. (PsycINFO Database Record (c) 2016 APA, all rights reserved)</t>
  </si>
  <si>
    <t>http://search.ebscohost.com.proxy-ub.rug.nl/login.aspx?direct=true&amp;db=psyh&amp;AN=2009-02547-004&amp;site=ehost-live&amp;scope=site</t>
  </si>
  <si>
    <t>Support for resettling refugees: The role of fixed versus growth mind-sets.</t>
  </si>
  <si>
    <t>Madan, Shilpa; Basu, Shankha; Rattan, Aneeta; Savani, Krishna</t>
  </si>
  <si>
    <t>Psychological Science</t>
  </si>
  <si>
    <t>2019-09090-006</t>
  </si>
  <si>
    <t>10.1177/0956797618813561</t>
  </si>
  <si>
    <t>Acculturation; Mind; Refugees; Social Perception; Causal Analysis; Adulthood (18 yrs &amp; older); Male; Female</t>
  </si>
  <si>
    <t>In six studies (N = 2,340), we identified one source of people’s differential support for resettling refugees in their country—their beliefs about whether the kind of person someone is can be changed (i.e., a growth mind-set) or is fixed (i.e., a fixed mind-set). U.S. and UK citizens who believed that the kind of person someone is can be changed were more likely to support resettling refugees in their country (Studies 1 and 2). Study 3 identified a causal relationship between the type of mind-set people hold and their support for resettling refugees. Importantly, people with a growth mind-set were more likely to believe that refugees can assimilate in the host society but not that they should assimilate, and the belief that refugees can assimilate mediated the relationship between people’s mind-sets and their support for resettling refugees (Studies 4–6). The findings identify an important antecedent of people’s support for resettling refugees and provide novel insights into the science of mind-sets. (PsycINFO Database Record (c) 2019 APA, all rights reserved)</t>
  </si>
  <si>
    <t>http://search.ebscohost.com.proxy-ub.rug.nl/login.aspx?direct=true&amp;db=psyh&amp;AN=2019-09090-006&amp;site=ehost-live&amp;scope=site</t>
  </si>
  <si>
    <t>Supportive and unsupportive social interactions in relation to cultural adaptation and psychological distress among Somali refugees exposed to collective or personal traumas.</t>
  </si>
  <si>
    <t>Jorden, Skye; Matheson, Kimberly; Anisman, Hymie</t>
  </si>
  <si>
    <t>2009-18243-007</t>
  </si>
  <si>
    <t>10.1177/0022022109339182</t>
  </si>
  <si>
    <t>Distress; Emotional Trauma; Major Depression; Social Interaction; Social Support; Adaptation; Refugees; Sociocultural Factors; Childhood (birth-12 yrs); School Age (6-12 yrs); Adolescence (13-17 yrs); Male; Female</t>
  </si>
  <si>
    <t>The present study evaluated the traumatic stressors experienced by Somali refugees to Canada (N = 169) that might be associated with poorer cultural adaptation and greater depressive and trauma symptoms. As well, it was suggested that indices of social support might mediate the relations between traumatic experiences and psychological outcomes. Regression analyses indicated that collective trauma experiences (e.g., civil warfare) were associated with poorer cultural adaptation but were not related to depressive and trauma symptoms. Furthermore, collective trauma was unrelated to social support perceptions that might have mediated the relation to cultural adaptation. In contrast, personally traumatic experiences (e.g., assault from a familiar other) were related to increased depressive and trauma symptoms, and these relations were mediated by self-reports of encountering unsupportive social interactions. Qualitative analyses of interview data (n = 23) suggested that refugees had developed a shared understanding of collective trauma that may have protected against psychological distress. (PsycINFO Database Record (c) 2016 APA, all rights reserved)</t>
  </si>
  <si>
    <t>http://search.ebscohost.com.proxy-ub.rug.nl/login.aspx?direct=true&amp;db=psyh&amp;AN=2009-18243-007&amp;site=ehost-live&amp;scope=site</t>
  </si>
  <si>
    <t>Symptoms Experienced During Menopausal Transition: Korean Women in South Korea and the United States.</t>
  </si>
  <si>
    <t>Im, Eun-Ok</t>
  </si>
  <si>
    <t>2003-08053-004</t>
  </si>
  <si>
    <t>10.1177/1043659603257160</t>
  </si>
  <si>
    <t>Human Females; Menopause; Symptoms; Cross Cultural Differences; Immigration; Adulthood (18 yrs &amp; older); Middle Age (40-64 yrs); Female</t>
  </si>
  <si>
    <t>This article reports on cultural influences on symptoms experienced during menopausal transition of Korean women in South Korea and Korean immigrant women in the United States. Data from independent studies of two groups of Korean women were triangulated and analyzed using descriptive and inferential statistics. The analysis indicated that Korean women in South Korea tended to report more symptoms than Korean immigrant women in the United States. Types and severity of prevalent symptoms were also found to be different between the two groups. The findings suggest that recent introduction of menopausal industries in South Korea and contextual influences on Korean women's work and immigration in the United States would be the reason for differences. Based on the findings, implications for future research are proposed. (PsycINFO Database Record (c) 2016 APA, all rights reserved)</t>
  </si>
  <si>
    <t>http://search.ebscohost.com.proxy-ub.rug.nl/login.aspx?direct=true&amp;db=psyh&amp;AN=2003-08053-004&amp;site=ehost-live&amp;scope=site</t>
  </si>
  <si>
    <t>Syrian refugee women’s profile and their expectations in their host country: A case study in Turkey.</t>
  </si>
  <si>
    <t>Mirici, İsmail Hakkı</t>
  </si>
  <si>
    <t>Quality &amp; Quantity: International Journal of Methodology</t>
  </si>
  <si>
    <t>Suppl 2</t>
  </si>
  <si>
    <t>2018-66681-041</t>
  </si>
  <si>
    <t>10.1007/s11135-018-0718-5</t>
  </si>
  <si>
    <t>Education; Students; Social Inclusion; Disadvantaged; Immigration; Refugees; Social Integration; Adulthood (18 yrs &amp; older); Female</t>
  </si>
  <si>
    <t>Due to inner conflicts and national or international political instability in their regions, hundreds of thousands of civilians flee from their home countries to some neighboring and safer countries. Among this huge number of migrants women seem to be the most disadvantaged groups because of their social status, their cultural roles as well as their educational background. In this study, a questionnaire was developed and administered to 47 Syrian refugee women living in the Cappadocia region of Turkey. Their profile and their expectations such as the social inclusion were reported. For this purpose, the data were collected via a questionnaire and a detailed review of literature. The quantitative data were analysed using SPSS package program, and the qualitative data were pre-analysed and, subsequently, the code system was adapted. The result of the data analysis illustrated serious social/personal problems and expectations related with communication with the local or inclusion in the social life because of their status in the family, unemployment, or their expectations to go back to their home country. (PsycInfo Database Record (c) 2020 APA, all rights reserved)</t>
  </si>
  <si>
    <t>http://search.ebscohost.com.proxy-ub.rug.nl/login.aspx?direct=true&amp;db=psyh&amp;AN=2018-66681-041&amp;site=ehost-live&amp;scope=site</t>
  </si>
  <si>
    <t>Taiwanese migrants in Australia: An investigation of their acculturation and wellbeing.</t>
  </si>
  <si>
    <t>Khawaja, Nigar G.; Yang, Sabrina; Cockshaw, Wendell</t>
  </si>
  <si>
    <t>2016-48846-001</t>
  </si>
  <si>
    <t>10.1017/prp.2016.1</t>
  </si>
  <si>
    <t>Acculturation; Immigration; Psychodynamics; Well Being; Adulthood (18 yrs &amp; older); Young Adulthood (18-29 yrs); Thirties (30-39 yrs); Middle Age (40-64 yrs); Aged (65 yrs &amp; older); Male; Female</t>
  </si>
  <si>
    <t>Taiwanese migrants who have settled in Brisbane, Australia (N = 271) completed a questionnaire battery available in both Mandarin and English. A series of multiple and hierarchical regression analyses were used to investigate the factors associated with these migrants’ acculturation and indicators of psychological wellbeing. Results indicated that various personal factors (age, English language proficiency, and duration of stay) were associated with acculturation and indicators of psychological wellbeing. Acculturation was not associated with wellbeing. Social support was associated with the indicators of the participants’ wellbeing. The outcome indicated that although associated with similar personal and environmental factors, acculturation and psychological wellbeing occurred separately. The study highlights the significance of certain personal resources and social support. (PsycINFO Database Record (c) 2017 APA, all rights reserved)</t>
  </si>
  <si>
    <t>http://search.ebscohost.com.proxy-ub.rug.nl/login.aspx?direct=true&amp;db=psyh&amp;AN=2016-48846-001&amp;site=ehost-live&amp;scope=site</t>
  </si>
  <si>
    <t>Team cohesion and ethnic–cultural identity in adolescent migrant athletes.</t>
  </si>
  <si>
    <t>Morela, Eleftheria; Hatzigeorgiadis, Antonis; Kouli, Olga; Elbe, Anne-Marie; Sanchez, Xavier</t>
  </si>
  <si>
    <t>2013-34033-004</t>
  </si>
  <si>
    <t>10.1016/j.ijintrel.2013.05.001</t>
  </si>
  <si>
    <t>Athletes; Ethnic Identity; Group Cohesion; Immigration; Sociocultural Factors; Adolescent Development; Athletic Participation; Social Integration; Teams; Cultural Identity; Adolescence (13-17 yrs); Male; Female</t>
  </si>
  <si>
    <t>The purpose of this study was to examine the role of sport participation in the social integration of adolescents with non-dominant ethnic and cultural backgrounds. In particular, this study investigated the relationship between team cohesion and ethnic–cultural identity. Participants were 83 young migrant athletes (mean age 15.60 years). Participants completed the Ethnic/Cultural Identity Salience Questionnaire and the Youth Sport Environment Questionnaire. Regression analyses showed that cohesion negatively predicted feelings of fringe and lack of interaction. Our findings suggest that sport participation, particularly in cohesive teams, can facilitate the development of adaptive identity toward the goal of social integration in migrant adolescents. (PsycInfo Database Record (c) 2020 APA, all rights reserved)</t>
  </si>
  <si>
    <t>http://search.ebscohost.com.proxy-ub.rug.nl/login.aspx?direct=true&amp;db=psyh&amp;AN=2013-34033-004&amp;site=ehost-live&amp;scope=site</t>
  </si>
  <si>
    <t>Terror management and reactions to undocumented immigrants: Mortality salience increases aversion to culturally dissimilar others.</t>
  </si>
  <si>
    <t>Bassett, Jonathan F.; Connelly, Jennifer Nicole</t>
  </si>
  <si>
    <t>2011-23243-001</t>
  </si>
  <si>
    <t>10.1080/00224540903365562</t>
  </si>
  <si>
    <t>Aversion; Death and Dying; Immigration; Terror Management Theory; Threat; Adulthood (18 yrs &amp; older); Male; Female</t>
  </si>
  <si>
    <t>The authors examine the idea, derived from Terror Management Theory, that concerns about undocumented immigrants stem from the need to protect death-buffering cultural values against the symbolic threat posed by dissimilar others. It is hypothesized that reminders of death will intensify aversion to culturally dissimilar immigrants. Forty-six university students were randomly assigned to a mortality salience or a control condition prior to evaluating either an illegal alien named Ben Johnson from Vancouver or Carlos Suarez from Mexico City. Consistent with the hypothesis, reactions to the Canadian target did not differ in the control and mortality salience conditions, whereas reactions to the Mexican immigrant were more negative in the mortality salience than in the control condition. (PsycINFO Database Record (c) 2016 APA, all rights reserved)</t>
  </si>
  <si>
    <t>http://search.ebscohost.com.proxy-ub.rug.nl/login.aspx?direct=true&amp;db=psyh&amp;AN=2011-23243-001&amp;site=ehost-live&amp;scope=site</t>
  </si>
  <si>
    <t>Terrorism, belief formation, and residential integration: Population dynamics in the aftermath of the 2004 Madrid terror bombings.</t>
  </si>
  <si>
    <t>Edling, Christofer; Rydgren, Jens; Sandell, Rickard</t>
  </si>
  <si>
    <t>2016-37241-005</t>
  </si>
  <si>
    <t>10.1177/0002764216643127</t>
  </si>
  <si>
    <t>Attitude Formation; Human Migration; Population; Social Integration; Terrorism</t>
  </si>
  <si>
    <t>In this article, we study the effects of the 2004 terrorist bombings in Madrid on ethnic segregation in Spain. Using large-scale Spanish register data consisting of information on 5.4 million international migration events on a monthly basis and 13.9 million intermunicipal migration events, of which 3.8 million events concern the foreign-born population’s internal migration within Spain, the analyses show that ethnic segregation increased (i.e., the average geographical distance) between Arab immigrants and native Spaniards shortly after the terror bombing, but that no such effect was found for other immigrant groups. The analysis also shows that this was a relative short-term effect: After about 1 or 2 years, ethnic segregation started to decline again (and thus resumed the declining trend that was observed during the years before the terrorist bombing). We interpret these results in terms of belief formation mechanisms. Because of priming and framing effects, the terrorist bombings accentuated the salience of ethnic categorizations and induced threat-attributing ethnic stereotypes, which were influencing migration behaviors. However, not only did native Spaniards become more reluctant to live in close proximity to Arab immigrants, Arab migrants also became more inclined to move closer to coethnics, possibly because of a perceived threat to become victims of discriminatory behaviors of the majority population. Priming and framing affects abated after a while, and migration behaviors started to return to normal again. Finally, we discuss a variety of survey data to substantiate the argument that belief formation mechanisms played an important role in these processes. (PsycINFO Database Record (c) 2016 APA, all rights reserved)</t>
  </si>
  <si>
    <t>http://search.ebscohost.com.proxy-ub.rug.nl/login.aspx?direct=true&amp;db=psyh&amp;AN=2016-37241-005&amp;site=ehost-live&amp;scope=site</t>
  </si>
  <si>
    <t>Testing the influence of cultural determinants on help-seeking theory.</t>
  </si>
  <si>
    <t>Saint Arnault, Denise; Woo, Seoyoon</t>
  </si>
  <si>
    <t>2018-43268-001</t>
  </si>
  <si>
    <t>10.1037/ort0000353</t>
  </si>
  <si>
    <t>Health Care Seeking Behavior; Human Females; Mental Disorders; Risk Factors; Social Influences; Distress; Health Care Utilization; Immigration; Japanese Americans; Sociocultural Factors; Test Construction; Theories; Adulthood (18 yrs &amp; older); Female</t>
  </si>
  <si>
    <t>Despite increased risks for mental health problems, East Asian immigrant women have the lowest overall service-utilization rates of any cultural group in the United States. Although the influence of cultural processes as the cause of low service use is widely speculated, no empirical study has tested cultural determinants (including culturally specific idioms of distress, culture-based illness interpretations, or concerns about social consequences), social contextual factors, perceived need (PN), and help-seeking (HS) behaviors. In the present study, we examined how cultural determinants, such as symptom experience, beliefs and interpretations, and perceptions about the social environment, affect PN and HS type for Japanese women living in the United States. Increasing physical symptom severity increased the predicted probability of endorsing PN. For those participants with PN, 48.6% of them used medical HS (χ2 = 11.27, p = .00), and 12.5% of them used the psychological HS (χ2 = 7.43, p = .01). Multivariate logistic regression revealed that, when PN is considered with the other cultural variables while controlling for structural variables, PN increases the odds of medical HS (OR = 2.78, 95% CI [1.0–5.8], p &lt; .01). The odds of medical HS are also increased with higher social support (OR = 1.07, 95% CI [1.0–1.1], p &lt; .01). Finally, the presence of interpersonal stigma beliefs decreased the odds of medical HS (OR = 2.4, 95% CI [1.1–5.3], p &lt; .03). Clinical and research implications are discussed. (PsycINFO Database Record (c) 2018 APA, all rights reserved)</t>
  </si>
  <si>
    <t>http://search.ebscohost.com.proxy-ub.rug.nl/login.aspx?direct=true&amp;db=psyh&amp;AN=2018-43268-001&amp;site=ehost-live&amp;scope=site</t>
  </si>
  <si>
    <t>Testing the subtractive pattern of cultural identification.</t>
  </si>
  <si>
    <t>de la Sablonnière, Roxane; Amiot, Catherine E.; Cárdenas, Diana; Sadykova, Nazgul; Gorborukova, Galina L.; Huberdeau, Marie‐Elaine</t>
  </si>
  <si>
    <t>2016-10395-001</t>
  </si>
  <si>
    <t>10.1002/ejsp.2178</t>
  </si>
  <si>
    <t>Group Identity; Immigration; Social Identity; Social Integration; Sociocultural Factors; Status; Cultural Identity; Adulthood (18 yrs &amp; older); Male; Female</t>
  </si>
  <si>
    <t>Identity integration, and more specifically, the subtractive pattern of cultural identification, is investigated in this article. This pattern is hypothesized to occur when individuals integrate a new group identity of higher and legitimate status than their original identity, resulting in lower identification with the original group. The first study examined how relative status predicts the subtractive pattern of identification in immigrants living in Canada. Studies 2 and 3—conducted among Kyrgyz and Canadian participants—extended these results by measuring the impact of legitimacy on the subtractive pattern of identification. Results support the hypothesis that the subtractive pattern of identification takes place when the new identity has a higher and legitimate status compared with the original one, highlighting the possible different patterns of identity integration. (PsycInfo Database Record (c) 2020 APA, all rights reserved)</t>
  </si>
  <si>
    <t>http://search.ebscohost.com.proxy-ub.rug.nl/login.aspx?direct=true&amp;db=psyh&amp;AN=2016-10395-001&amp;site=ehost-live&amp;scope=site</t>
  </si>
  <si>
    <t>The (diverse) company you keep: Content and structure of immigrants’ social networks as a window into intercultural relations in Catalonia.</t>
  </si>
  <si>
    <t>Repke, Lydia; Benet-Martínez, Verónica</t>
  </si>
  <si>
    <t>2018-31972-007</t>
  </si>
  <si>
    <t>10.1177/0022022117733475</t>
  </si>
  <si>
    <t>Acculturation; Immigration; Social Issues; Cultural Identity; Social Networks; Adulthood (18 yrs &amp; older); Male; Female</t>
  </si>
  <si>
    <t>This research examines how the social networks of immigrants residing in a European bicultural and bilingual context (Catalonia) relate to levels of adjustment (both psychological and sociocultural) and to bicultural identity integration (BII). Moroccan, Pakistani, Ecuadorian, and Romanian immigrants residing in Barcelona nominated 25 individuals (i.e., alters) from their habitual social networks and provided demographic (e.g., ethnicity), relationship type (e.g., family, friend, neighbor), and structural (who knew whom) information for each of these alters. Even after controlling for individual-level demographic and acculturation variables, the content and structure of immigrants’ personal social networks had unique associations with both types of adjustment and with BII. Specifically, the overall degree of cultural diversity in the network and the amount of Catalan (but not Spanish) 'weak' ties (i.e., acquaintances, colleagues, neighbors) positively predicted these outcomes. Amount of interconnectedness between local coethnic and Catalan/Spanish alters also predicted sociocultural adjustment and BII positively. Finally, against a 'culture and language similarity' hypothesis, Moroccan and Pakistani participants had social networks that were more culturally integrated, relative to Ecuadorians and Romanians. Results from this study attest to the importance of examining actual intercultural relations and going beyond individuals’ reported acculturation preferences to understand immigrants’ overall adaptation and cultural identity dynamics. Furthermore, results highlight the interplay between interculturalism experienced at the intrapersonal, subjective level (i.e., BII), and at the meso-level (i.e., having culturally diverse networks that also include interethnic ties among alters). (PsycInfo Database Record (c) 2020 APA, all rights reserved)</t>
  </si>
  <si>
    <t>http://search.ebscohost.com.proxy-ub.rug.nl/login.aspx?direct=true&amp;db=psyh&amp;AN=2018-31972-007&amp;site=ehost-live&amp;scope=site</t>
  </si>
  <si>
    <t>The adaptation of Chinese adolescents in two societies: A comparison of Chinese adolescents in Hong Kong and Australia.</t>
  </si>
  <si>
    <t>Leung, Cynthia; Karnilowicz, Wally</t>
  </si>
  <si>
    <t>2009-11696-002</t>
  </si>
  <si>
    <t>10.1080/00207590701656150</t>
  </si>
  <si>
    <t>Adolescent Psychology; Cross Cultural Differences; Human Migration; Society; Adolescence (13-17 yrs); Male; Female</t>
  </si>
  <si>
    <t>This study aimed to compare the adaptation of two groups of migrant Chinese adolescents with their nonmigrant peers. The migrant adolescents included 55 Chinese migrant adolescents who migrated to Australia (Chinese-Australian) and 111 China-born adolescents who migrated to Hong Kong (Chinese-Hong Kong). The nonmigrant adolescents included 157 Anglo-Australian adolescents residing in Australia and 456 Hong Kong-born Chinese adolescents residing in Hong Kong. There were three research questions in this study. First, would there be any differences in the adaptation of Chinese migrant adolescents in different societies of settlement? Second, would migrant adolescents experience more adaptation problems than nonmigrant adolescents? Third, would there be any differences in the adaptation of adolescents in the two societies, Australia and Hong Kong? It was hypothesized that: (1) mainland Chinese migrant adolescents in Hong Kong would experience more adaptation problems than Chinese migrant adolescents in Australia; (2) migrant adolescents would report better adaptation than nonmigrant adolescents; (3) adolescents in Hong Kong would report poorer adaptation than adolescents in Australia. The participants were requested to complete a questionnaire on various adaptation outcome measures including life satisfaction, self-esteem, psychological symptoms, academic satisfaction, and behavior problems. The results indicated that Chinese-Australian adolescents reported better psychological adaptation but Chinese-Hong Kong adolescents reported better sociocultural adaptation. Adolescents resident in Australia reported higher psychological adaptation but lower sociocultural adaptation than those in Hong Kong. Migrant adolescents reported better psychological and sociocultural adaptation than their nonmigrant counterparts. The results were discussed in relation to the social and educational systems of the two societies. (PsycINFO Database Record (c) 2016 APA, all rights reserved)</t>
  </si>
  <si>
    <t>http://search.ebscohost.com.proxy-ub.rug.nl/login.aspx?direct=true&amp;db=psyh&amp;AN=2009-11696-002&amp;site=ehost-live&amp;scope=site</t>
  </si>
  <si>
    <t>The Afro-Cardiac Study: Cardiovascular disease risk and acculturation in West African immigrants in the United States: Rationale and study design.</t>
  </si>
  <si>
    <t>Commodore-Mensah, Yvonne; Sampah, Maame; Berko, Charles; Cudjoe, Joycelyn; Abu-Bonsrah, Nancy; Obisesan, Olawunmi; Agyemang, Charles; Adeyemo, Adebowale; Himmelfarb, Cheryl Dennison</t>
  </si>
  <si>
    <t>2016-50539-006</t>
  </si>
  <si>
    <t>10.1007/s10903-015-0291-0</t>
  </si>
  <si>
    <t>Acculturation; African Cultural Groups; Cardiovascular Disorders; Immigration; Risk Factors; Adulthood (18 yrs &amp; older); Thirties (30-39 yrs); Middle Age (40-64 yrs); Aged (65 yrs &amp; older); Male; Female</t>
  </si>
  <si>
    <t>Cardiovascular disease (CVD) remains the leading cause of death in the United States (US). African-descent populations bear a disproportionate burden of CVD risk factors. With the increase in the number of West African immigrants (WAIs) to the US over the past decades, it is imperative to specifically study this new and substantial subset of the African-descent population and how acculturation impacts their CVD risk. The Afro-Cardiac study, a community-based cross-sectional study of adult WAIs in the Baltimore–Washington metropolis. Guided by the PRECEDE–PROCEED model, we used a modification of the World Health Organization Steps survey to collect data on demographics, socioeconomic status, migration-related factors and behaviors. We obtained physical, biochemical, acculturation measurements as well as a socio-demographic and health history. Our study provides critical data on the CVD risk of WAIs. The framework used is valuable for future epidemiological studies addressing CVD risk and acculturation among immigrants. (PsycINFO Database Record (c) 2017 APA, all rights reserved)</t>
  </si>
  <si>
    <t>http://search.ebscohost.com.proxy-ub.rug.nl/login.aspx?direct=true&amp;db=psyh&amp;AN=2016-50539-006&amp;site=ehost-live&amp;scope=site</t>
  </si>
  <si>
    <t>The association between acculturation and recreational computer use among Latino adolescents in California.</t>
  </si>
  <si>
    <t>Shi, L.; van Meijgaard, J.; Simon, P.</t>
  </si>
  <si>
    <t>Pediatric Obesity</t>
  </si>
  <si>
    <t>e33</t>
  </si>
  <si>
    <t>2012-18249-010</t>
  </si>
  <si>
    <t>10.1111/j.2047-6310.2012.00057.x</t>
  </si>
  <si>
    <t>Acculturation; Obesity; Physical Activity; Computer Usage; Latinos/Latinas; Adolescent Development; Childhood (birth-12 yrs); School Age (6-12 yrs); Adolescence (13-17 yrs); Male; Female</t>
  </si>
  <si>
    <t>Background: Physical inactivity like recreational computer use is a likely factor in the rising obesity prevalence among Latino adolescents. Objectives: Using the data from California Health Interview Survey, we test the hypothesis whether acculturation is associated with recreational computer use among Latino adolescents. Methods: We run linear regressions of the weekly time spent on recreational computer use among Latino adolescents, stratified first by gender and then by age group (12–14 and 15–17 years). Years living in the United States and language at home are used as key variables for acculturation. Results: For all four sub-populations, living in the United States for less than 5 years is significantly associated with fewer hours on recreational computer use, compared with those US-born. Among female adolescents, those who lived in the United States for 10 years or more spent fewer hours on recreational computer use than those US-born. Among adolescents under 15, speaking English only and speaking English plus another language are both significantly associated with more hours on recreational computer use, compared with those who speak a non-English language at home. Conclusion: Educators and health professionals should heed the Latino adolescents’ possible increase in recreational computer use. (PsycINFO Database Record (c) 2016 APA, all rights reserved)</t>
  </si>
  <si>
    <t>http://search.ebscohost.com.proxy-ub.rug.nl/login.aspx?direct=true&amp;db=psyh&amp;AN=2012-18249-010&amp;site=ehost-live&amp;scope=site</t>
  </si>
  <si>
    <t>The association between acculturation patterns and mental health symptoms among Eritrean and Sudanese asylum seekers in Israel.</t>
  </si>
  <si>
    <t>Nakash, Ora; Nagar, Maayan; Shoshani, Anat; Lurie, Ido</t>
  </si>
  <si>
    <t>2014-31334-001</t>
  </si>
  <si>
    <t>10.1037/a0037534</t>
  </si>
  <si>
    <t>Acculturation; Adjustment; Mental Health; Racial and Ethnic Groups; Refugees; African Cultural Groups; Anxiety Disorders; Major Depression; Mental Disorders; Psychiatric Symptoms; Psychopathology; Adulthood (18 yrs &amp; older); Young Adulthood (18-29 yrs); Thirties (30-39 yrs); Middle Age (40-64 yrs); Male; Female</t>
  </si>
  <si>
    <t>Past research has documented the role acculturation plays in the process of adjustment to new cultures among migrants. Yet little attention has been paid thus far to the role of acculturation in the context of forced migration. In this study we examined the association between acculturation patterns and mental health symptoms among a convenience sample of Eritrean and Sudanese asylum seekers (n = 118) who accessed health services at the Physicians for Human Rights Open-Clinic in Israel. Participants completed measures on sociodemographic information as well as detention history, mental health symptoms, exposure to traumatic events, and acculturation pattern, in their native language upon accessing services. Consistent with our predictions, findings showed that acculturation predicted depressive symptoms among asylum seekers beyond the effect of history of detention and reports of experiences of traumatic events. Assimilated compared with integrated asylum seekers reported higher depressive symptoms. Findings draw attention to the paradox of assimilation, and the mental health risks it poses among those wishing to integrate into the new culture at the expanse of their original culture. Asylum seekers may be particularly vulnerable to the risks of assimilation in the restrictive policies that characterize many industrial countries in recent years. (PsycINFO Database Record (c) 2016 APA, all rights reserved)</t>
  </si>
  <si>
    <t>http://search.ebscohost.com.proxy-ub.rug.nl/login.aspx?direct=true&amp;db=psyh&amp;AN=2014-31334-001&amp;site=ehost-live&amp;scope=site</t>
  </si>
  <si>
    <t>The association between immigrant generational status, child maltreatment history and intimate partner violence (IPV): Evidence from a nationally representative survey.</t>
  </si>
  <si>
    <t>Kimber, Melissa; Henriksen, Christine A.; Davidov, Danielle M.; Goldstein, Abby L.; Pitre, Nicole Y.; Tonmyr, Lil; Afifi, Tracie O.</t>
  </si>
  <si>
    <t>2015-00092-001</t>
  </si>
  <si>
    <t>10.1007/s00127-014-1002-1</t>
  </si>
  <si>
    <t>Child Abuse; Human Sex Differences; Immigration; Intimate Partner Violence; Acculturation; Domestic Violence; Transgenerational Patterns; Adulthood (18 yrs &amp; older); Male; Female</t>
  </si>
  <si>
    <t>Purpose: The extent to which immigrant-specific factors influence the intergenerational transmission of family violence is unknown. The objectives of this paper are to examine the associations between immigrant generational status (IGS), child maltreatment (CM), intimate partner violence (IPV) and acculturation (i.e., the extent to which an individual adopts the values, language and attitudes of a new culture). Methods: The sample was drawn from wave two of the National Epidemiologic Survey on Alcohol and Related Conditions (NESARC; n = 34,653), a nationally representative survey of United States (US) residents aged 20 years and older. Logistic regression was used to estimate the associations between IGS, CM history, IPV, and acculturation. Results: Compared to 3rd generation (or later) respondents, 1st generation immigrants were less likely to report a history of sexual (AOR = 0.74, CI0.95 = 0.62, 0.90) and emotional abuse (AOR = 0.69, CI0.95 = 0.55, 0.87), but were more likely to report physical neglect (AOR = 1.30, CI0.95 = 1.11, 1.52). After adjusting for covariates, IGS was not associated with IPV among respondents with or without a CM history. Among those without a CM history, highly acculturated 1st generation immigrants (AOR = 1.07, CI0.95 = 1.01, 1.13) were more likely to report perpetrating IPV, with highly acculturated 3rd generation respondents having lower odds of reporting IPV perpetration (AOR = 0.93, CI0.95 = 0.88–1.00). Conclusion: IGS and acculturation are important factors in CM and IPV. Longitudinal studies are needed to clarify the influence of IGS, recency of immigration, acculturation and acculturative stress on the experiences and relationship between CM and IPV. (PsycINFO Database Record (c) 2019 APA, all rights reserved)</t>
  </si>
  <si>
    <t>http://search.ebscohost.com.proxy-ub.rug.nl/login.aspx?direct=true&amp;db=psyh&amp;AN=2015-00092-001&amp;site=ehost-live&amp;scope=site</t>
  </si>
  <si>
    <t>The association between postnatal depression, acculturation and mother–infant bond among Eritrean asylum seekers in Israel.</t>
  </si>
  <si>
    <t>Nakash, Ora; Nagar, Maayan; Lurie, Ido</t>
  </si>
  <si>
    <t>2016-38255-037</t>
  </si>
  <si>
    <t>10.1007/s10903-016-0348-8</t>
  </si>
  <si>
    <t>Acculturation; Attachment Behavior; Mother Child Relations; Postpartum Depression; Asylum Seeking; African Cultural Groups; Adulthood (18 yrs &amp; older); Young Adulthood (18-29 yrs); Thirties (30-39 yrs); Female</t>
  </si>
  <si>
    <t>We examined the association between postnatal depression (PND), acculturation and mother–infant bond among 38 Eritrean asylum seekers in Israel, who were within 6 months of delivery. Participants completed a survey in their native language. A high rate of women (81.6 %) met the clinical threshold for PND on the Edinburgh Postnatal Depression Scale. Higher severity of PND (partial r = −.64, p &lt; .001), higher identification with Israeli culture (partialr = −.45, p = .02), and lower quality of romantic relationship were associated with impaired mother–infant bond (partial r = .58, p = .002). Findings highlight the need to establish services to screen and treat PND among this vulnerable population in the receiving countries. (PsycINFO Database Record (c) 2016 APA, all rights reserved)</t>
  </si>
  <si>
    <t>http://search.ebscohost.com.proxy-ub.rug.nl/login.aspx?direct=true&amp;db=psyh&amp;AN=2016-38255-037&amp;site=ehost-live&amp;scope=site</t>
  </si>
  <si>
    <t>The association of acculturation and depressive and anxiety symptoms in immigrant chronic dialysis patients.</t>
  </si>
  <si>
    <t>Haverkamp, Gertrud L. G.; Loosman, Wim L.; van den Beukel, Tessa O.; Hoekstra, Tiny; Dekker, Friedo W.; Shaw, Prataap K. Chandie; Smets, Yves F. C.; Vleming, Louis-Jean; Wee, Pieter M. Ter; Honig, Adriaan; Siegert, Carl E. H.</t>
  </si>
  <si>
    <t>2016-00154-004</t>
  </si>
  <si>
    <t>10.1016/j.genhosppsych.2015.09.002</t>
  </si>
  <si>
    <t>Acculturation; Dialysis; Immigration; Anxiety; Major Depression; Adulthood (18 yrs &amp; older); Male; Female</t>
  </si>
  <si>
    <t>Objective: Among immigrant chronic dialysis patients, depressive and anxiety symptoms are common. We aimed to examine the association of acculturation, i.e. the adaptation of immigrants to a new cultural context, and depressive and anxiety symptoms in immigrant chronic dialysis patients. Methods: The DIVERS study is a prospective cohort study in five urban dialysis centers in the Netherlands. The association of five aspects of acculturation ('Skills', 'Social integration', 'Traditions', 'Values and norms' and 'Loss') and the presence of depressive and anxiety symptoms was determined using linear regression analyses, both univariate and multivariate. Results: A total of 249 immigrant chronic dialysis patients were included in the study. The overall prevalence of depressive and anxiety symptoms was 51% and 47%, respectively. 'Skills' and 'Loss' were significantly associated with the presence of depressive and anxiety symptoms, respectively ('Skills' β = 0.34, CI: 0.11–0.58, and 'Loss' β = 0.19, CI: 0.01–0.37; 'Skills' β = 0.49, CI: 0.25–0.73, and 'Loss' β = 0.33, CI: 0.13–0.53). The associations were comparable after adjustment. No significant associations were found between the other subscales and depressive and anxiety symptoms. Conclusion: This study demonstrates that less skills for living in the Dutch society and more feelings of loss are associated with the presence of both depressive and anxiety symptoms in immigrant chronic dialysis patients. (PsycINFO Database Record (c) 2018 APA, all rights reserved)</t>
  </si>
  <si>
    <t>http://search.ebscohost.com.proxy-ub.rug.nl/login.aspx?direct=true&amp;db=psyh&amp;AN=2016-00154-004&amp;site=ehost-live&amp;scope=site</t>
  </si>
  <si>
    <t>The association of religiosity with overweight/obese body mass index among Asian Indian immigrants in California.</t>
  </si>
  <si>
    <t>Bharmal, Nazleen; Kaplan, Robert M.; Shapiro, Martin F.; Kagawa-Singer, Marjorie; Wong, Mitchell D.; Mangione, Carol M.; Divan, Hozefa; McCarthy, William J.</t>
  </si>
  <si>
    <t>Preventive Medicine: An International Journal Devoted to Practice and Theory</t>
  </si>
  <si>
    <t>2013-33216-011</t>
  </si>
  <si>
    <t>10.1016/j.ypmed.2013.06.003</t>
  </si>
  <si>
    <t>Asians; Immigration; Obesity; Overweight; Religiosity; Body Mass Index; Adulthood (18 yrs &amp; older); Young Adulthood (18-29 yrs); Thirties (30-39 yrs); Middle Age (40-64 yrs); Male; Female</t>
  </si>
  <si>
    <t>Objective: The aim of this study was to examine the association between religiosity and overweight or obese body mass index among a multi-religious group of Asian Indian immigrants residing in California. Methods: We examined cross-sectional survey data obtained from in-language telephone interviews with 3228 mostly immigrant Asian Indians in the 2004 California Asian Indian Tobacco Survey using multivariate logistic regression. Results: High self-identified religiosity was significantly associated with higher BMI after adjusting for socio-demographic and acculturation measures. Highly religious Asian Indians had 1.53 greater odds (95% CI: 1.18, 2.00) of being overweight or obese than low religiosity immigrants, though this varied by religious affiliation. Religiosity was associated with greater odds of being overweight/obese for Hindus (OR 1.54; 95% CI: 1.08, 2.22) and Sikhs (OR 1.88; 95% CI: 1.07, 3.30), but not for Muslims (OR 0.69; 95% CI: 0.28, 1.70). Conclusions: Religiosity in Hindus and Sikhs, but not immigrant Muslims, appears to be independently associated with greater body mass index among Asian Indians. If this finding is confirmed, future research should identify potentially mutable mechanisms by which religion-specific religiosity affects overweight/obesity risk. (PsycINFO Database Record (c) 2018 APA, all rights reserved)</t>
  </si>
  <si>
    <t>http://search.ebscohost.com.proxy-ub.rug.nl/login.aspx?direct=true&amp;db=psyh&amp;AN=2013-33216-011&amp;site=ehost-live&amp;scope=site</t>
  </si>
  <si>
    <t>The associations of acculturation and marital satisfaction scores among Iranian immigrants.</t>
  </si>
  <si>
    <t>Zalishahar, Pegah Prousha</t>
  </si>
  <si>
    <t>2020-40779-043</t>
  </si>
  <si>
    <t>Acculturation; Heterosexuality; Immigration; Marital Satisfaction; Marriage; Multiple Regression; Self-Report; Adulthood (18 yrs &amp; older)</t>
  </si>
  <si>
    <t>This present quantitative study examined the relationship between levels of acculturation and marital satisfaction scores among Iranian immigrants that has immigrated to the United States within the last five years and reside in Orange County and Los Angeles County, California. Self-reported scales ENRICH EMS and the Iranian Acculturation scale were completed 27 heterosexual married participants. Results of the multiple linear regression analysis revealed that the relationship between acculturation and levels of marital satisfaction among Iranian immigrant individuals were insignificant. Additionally, the data suggests that arranged marriages have a significant impact on both marital satisfaction and level of acculturation of heterosexual married Iranian immigrants. Heterosexual married Iranian immigrants that had arranged marriages have significantly higher marital satisfaction or higher acculturation levels than heterosexual married Iranian immigrants that did not experience arranged marriages. These findings imply that further research shall be conducted in order to understand the impact of acculturation and marital satisfaction on Iranian immigrants. (PsycInfo Database Record (c) 2020 APA, all rights reserved)</t>
  </si>
  <si>
    <t>http://search.ebscohost.com.proxy-ub.rug.nl/login.aspx?direct=true&amp;db=psyh&amp;AN=2020-40779-043&amp;site=ehost-live&amp;scope=site</t>
  </si>
  <si>
    <t>The asylum-process, bicultural identity and depression among unaccompanied young refugees.</t>
  </si>
  <si>
    <t>Oppedal, Brit; Ramberg, Visnja; Røysamb, Espen</t>
  </si>
  <si>
    <t>2020-93441-006</t>
  </si>
  <si>
    <t>10.1016/j.adolescence.2020.07.007</t>
  </si>
  <si>
    <t>Acculturation; Ethnic Identity; Major Depression; Refugees; Multiculturalism; Self-Report; Test Construction; Asylum Seeking; Adolescence (13-17 yrs); Adulthood (18 yrs &amp; older); Young Adulthood (18-29 yrs); Male; Female</t>
  </si>
  <si>
    <t>Introduction: The overall aim of the present study was to expand our knowledge about depression among unaccompanied refugee minors in the years after they were granted protection in Norway. Predictors were contextual variables in terms of the asylum-process, acculturation variables in terms of bicultural identity, and demographic information such as residence-time. Method: Register data and cross-sectional self-report questionnaire data were collected from 895 unaccompanied young refugees (UYRs). They originated in 31 different countries, the majority was from Afghanistan, 82.4% were boys, and average residence-time was 2.5 years. Results: The length of the asylum-process was not associated with depression while heritage identity and residence-time were. Moderating analyses showed that an over-time steady decrease in depression was present for UYRs with a strong heritage identity. The prevalence of depression symptoms dropped from an initial 40%–14% among youth with 10 years of residence. Majority identity had neither direct nor indirect effects on depression. Conclusion: To optimize the psychosocial support offered to unaccompanied refugee minors during transition to stable resettlement, we need more substantial information about the aspects of the asylum-seeking process that increase the risk for mental health problems among them. In the years following resettlement, a strong heritage, but not majority identity was associated with lower levels of depressive symptoms. The findings are discussed in relation to structural barriers to bicultural identity formation and integration embedded in the way psychosocial support and education for these youths are structured, and implication for future research. (PsycInfo Database Record (c) 2021 APA, all rights reserved)</t>
  </si>
  <si>
    <t>http://search.ebscohost.com.proxy-ub.rug.nl/login.aspx?direct=true&amp;db=psyh&amp;AN=2020-93441-006&amp;site=ehost-live&amp;scope=site</t>
  </si>
  <si>
    <t>The burden of culture? Health outcomes among immigrants from the former Soviet Union in the United States.</t>
  </si>
  <si>
    <t>Hofmann, Erin Trouth</t>
  </si>
  <si>
    <t>2012-06971-020</t>
  </si>
  <si>
    <t>10.1007/s10903-010-9436-3</t>
  </si>
  <si>
    <t>Health; Health Behavior; Immigration; Health Outcomes; Adulthood (18 yrs &amp; older); Young Adulthood (18-29 yrs); Thirties (30-39 yrs); Male; Female</t>
  </si>
  <si>
    <t>Immigrants in the U.S. often experience better health than the native-born, and many explanations for this phenomenon center around the positive health behaviors that immigrants bring from their home cultures. Immigrants from the former Soviet Union may be an exception; because they come from societies where unhealthy lifestyles and high mortality are common, they are often expected to experience worse health than the native population. Using data from the Integrated Health Interview Series, I compare FSU immigrants with U.S.-born, non-Hispanic whites on several health measures. FSU immigrants are twice as likely as native whites to report fair or poor health, but they are less likely to smoke or drink, and are less likely to report a functional limitation. FSU immigrants’ advantage in functional limitation is largely explained by their very high levels of education and marriage, indicating that selectivity is important to understanding the health of this population. (PsycINFO Database Record (c) 2019 APA, all rights reserved)</t>
  </si>
  <si>
    <t>http://search.ebscohost.com.proxy-ub.rug.nl/login.aspx?direct=true&amp;db=psyh&amp;AN=2012-06971-020&amp;site=ehost-live&amp;scope=site</t>
  </si>
  <si>
    <t>The concept of multiculturalism: A study among dutch majority members.</t>
  </si>
  <si>
    <t>Schalk-Soekar, Saskia R. G.; Van de Vijver, Fons J. R.</t>
  </si>
  <si>
    <t>2008-10519-010</t>
  </si>
  <si>
    <t>10.1111/j.1559-1816.2008.00385.x</t>
  </si>
  <si>
    <t>Acculturation; Intergroup Dynamics; Racial and Ethnic Attitudes; Social Norms; Multiculturalism; Society; Adulthood (18 yrs &amp; older); Young Adulthood (18-29 yrs); Thirties (30-39 yrs); Middle Age (40-64 yrs); Aged (65 yrs &amp; older); Very Old (85 yrs &amp; older); Male; Female</t>
  </si>
  <si>
    <t>The current study examined the concept of multiculturalism as seen by 1,285 Dutch majority members, and tested its expected relation with acculturation and intergroup relations aspects. The concepts of multiculturalism and acculturation were unidimensional. Dutch majority members were slightly positive (almost neutral) toward multiculturalism, and saw both its advantages and disadvantages. They preferred immigrants to adapt as much as possible, and they perceived a norm that they should approve the immigrant's way of living. A path model showed that acculturation orientations and intergroup relations aspects (perceived social norms/social distance) predicted multicultural attitudes. Furthermore, multicultural attitudes predicted contact with and knowledge about immigrants. Finally, level of education and perceived opportunities in society were positively associated with multicultural attitudes. (PsycINFO Database Record (c) 2016 APA, all rights reserved)</t>
  </si>
  <si>
    <t>http://search.ebscohost.com.proxy-ub.rug.nl/login.aspx?direct=true&amp;db=psyh&amp;AN=2008-10519-010&amp;site=ehost-live&amp;scope=site</t>
  </si>
  <si>
    <t>The conceptualization of depression and acculturative stress among Latino immigrants: A comparison of scores from Non-Hispanic Whites and persons of Mexican origin on the Center for Epidemiologic Studies Depression Scale-Revised (CESD-R).</t>
  </si>
  <si>
    <t>Walsh, Tasanee</t>
  </si>
  <si>
    <t>2015-99140-217</t>
  </si>
  <si>
    <t>Acculturation; Foreign Language Translation; Psychometrics; Test Reliability; Test Validity; Major Depression; Rating Scales; Stress</t>
  </si>
  <si>
    <t>This dissertation examines and compares the influence of acculturative stress on the experience of depressive symptoms among Non-Hispanic Whites and persons of Mexican origin. The objectives of this dissertation are threefold: First, to develop an expanded and integrated explanatory model of Latino acculturative stress that accounts for culture, stress and coping, cognitive appraisal, timing, and family and neighborhood factors; second, to evaluate the reliability and validity evidence of the English language version of the CESD-R; and third, to evaluate the reliability and validity evidence of the Spanish language version of the CESD-R. The first manuscript posits an explanatory model that expands upon and integrates work by Berry (2006) and most notably adds the dimension of family and neighborhood. Recent research findings on Latino immigrant depression point toward the importance of understanding and leveraging the protective nature of neighborhood and family (Breslau, 2011; Shell, Peek, &amp; Eschbach, 2013). The second manuscript evaluates the validity and reliability evidence of the English language version of the CESD-R. The results of an EFA, CFAs, and a multiple-group CFA of the English version of the CESD-R suggest that a 15-item version of the CESD-R best fit the study data. The final two-factor solution of negative mood and functional impairment and suicide, fit the data well. The third manuscript evaluates the reliability and validity evidence of the Spanish language version of the CESD-R. The scores of the Spanish Language version of the CESD-R fit the same CESD-R factor structure of Manuscript II. The results support the use of the 15-item version of the CESD-R with a Spanish speaking sample. This suggests that despite cultural differences, there are common cross-cultural components of depression that relate to negative mood and functional impairment and suicide. (PsycINFO Database Record (c) 2016 APA, all rights reserved)</t>
  </si>
  <si>
    <t>http://search.ebscohost.com.proxy-ub.rug.nl/login.aspx?direct=true&amp;db=psyh&amp;AN=2015-99140-217&amp;site=ehost-live&amp;scope=site</t>
  </si>
  <si>
    <t>The construction and validation of a measurement of ethno-cultural identity conflict.</t>
  </si>
  <si>
    <t>Ward, Colleen; Stuart, Jaimee; Kus, Larissa</t>
  </si>
  <si>
    <t>Journal of Personality Assessment</t>
  </si>
  <si>
    <t>2012-10544-007</t>
  </si>
  <si>
    <t>10.1080/00223891.2011.558872</t>
  </si>
  <si>
    <t>Conflict; Ethnic Identity; Rating Scales; Self-Concept; Test Construction; Acculturation; Immigration; International Students; Minority Groups; Racial and Ethnic Groups; Test Validity; Sense of Coherence; Cultural Identity; Adolescence (13-17 yrs); Adulthood (18 yrs &amp; older); Young Adulthood (18-29 yrs); Thirties (30-39 yrs); Middle Age (40-64 yrs); Aged (65 yrs &amp; older); Male; Female</t>
  </si>
  <si>
    <t>The research describes the construction and validation of the Ethno-cultural Identity Conflict Scale (EICS) based on 3 independent samples totaling 975 immigrants, international students, and members of ethnic minority groups. The convergent validity of the 20-item scale was supported by its correlations with Self-Concept Clarity (r = –.65), Sense of Coherence (r = –.58), Identity Distress (r = .48), and the Cultural Conflict (r = .62) and Cultural Distance (r = .21) components of the Bicultural Identity Integration Scale. EICS was also linked to contemporary acculturation research with integrated migrants experiencing less conflict than those who were separated, assimilated, or marginalized. (PsycInfo Database Record (c) 2020 APA, all rights reserved)</t>
  </si>
  <si>
    <t>http://search.ebscohost.com.proxy-ub.rug.nl/login.aspx?direct=true&amp;db=psyh&amp;AN=2012-10544-007&amp;site=ehost-live&amp;scope=site</t>
  </si>
  <si>
    <t>The Cultural Gradient: Culture Moderates the Relationship between Socioeconomic Status (SES) and Ambulatory Blood Pressure.</t>
  </si>
  <si>
    <t>Steffen, Patrick R.</t>
  </si>
  <si>
    <t>2007-01721-001</t>
  </si>
  <si>
    <t>10.1007/s10865-006-9079-y</t>
  </si>
  <si>
    <t>Blood Pressure; Sociocultural Factors; Socioeconomic Status; Adulthood (18 yrs &amp; older); Young Adulthood (18-29 yrs); Thirties (30-39 yrs); Middle Age (40-64 yrs); Male; Female</t>
  </si>
  <si>
    <t>A social gradient has been consistently demonstrated in Western countries with higher socioeconomic status (SES) related to lower blood pressure (BP). In non-Western countries, however, the social gradient is not always evident, with some countries appearing to show a reversed social gradient. It was hypothesized that culture moderates the social gradient, with the relationship between SES and BP differing as a function of culture. To investigate the idea of a 'cultural gradient' a sample of Hispanic immigrants and Whites was studied. A total of 79 participants (30 Hispanic immigrant, 49 White) wore ambulatory blood pressure monitors for 24 h. The Hispanic immigrants also completed the Acculturation Rating Scale for Mexican Americans-II . Hispanic immigrants had lower SES and lower BP compared to Whites. A cultural gradient moderating the social gradient was evident with Hispanic immigrants displaying a positive relationship between SES and BP and Whites displaying a negative relationship. Among Hispanic immigrants, increased acculturation to Western culture decreased the positive relationship between SES and BP. Just as there is a social gradient with increasing socioeconomic status related to better cardiovascular health, there appears to be a cultural gradient with increasing acculturation to Western society related to worse cardiovascular health. (PsycINFO Database Record (c) 2016 APA, all rights reserved)</t>
  </si>
  <si>
    <t>http://search.ebscohost.com.proxy-ub.rug.nl/login.aspx?direct=true&amp;db=psyh&amp;AN=2007-01721-001&amp;site=ehost-live&amp;scope=site</t>
  </si>
  <si>
    <t>The culture-transmission motive in immigrants: A world-wide internet survey.</t>
  </si>
  <si>
    <t>Mchitarjan, Irina; Reisenzein, Rainer</t>
  </si>
  <si>
    <t>2015-52679-001</t>
  </si>
  <si>
    <t>10.1371/journal.pone.0141625</t>
  </si>
  <si>
    <t>Cross Cultural Psychology; Culture (Anthropological); Immigration; Motivation; Transgenerational Patterns; Acculturation; Countries; Sociocultural Factors; Adulthood (18 yrs &amp; older); Male; Female</t>
  </si>
  <si>
    <t>A world-wide internet survey was conducted to test central assumptions of a recent theory of cultural transmission in minorities proposed by the authors. 844 1st to 2nd generation immigrants from a wide variety of countries recruited on a microjob platform completed a questionnaire designed to test eight hypotheses derived from the theory. Support was obtained for all hypotheses. In particular, evidence was obtained for the continued presence, in the immigrants, of the culture-transmission motive postulated by the theory: the desire to maintain the culture of origin and transmit it to the next generation. Support was also obtained for the hypothesized anchoring of the culture-transmission motive in more basic motives fulfilled by cultural groups, the relative intra- and intergenerational stability of the culture-transmission motive, and its motivating effects for action tendencies and desires that support cultural transmission under the difficult conditions of migration. Furthermore, the findings suggest that the assumption that people have a culture-transmission motive belongs to the folk psychology of sociocultural groups, and that immigrants regard the fulfillment of this desire as a moral right. (PsycInfo Database Record (c) 2020 APA, all rights reserved)</t>
  </si>
  <si>
    <t>http://search.ebscohost.com.proxy-ub.rug.nl/login.aspx?direct=true&amp;db=psyh&amp;AN=2015-52679-001&amp;site=ehost-live&amp;scope=site</t>
  </si>
  <si>
    <t>The development of externalizing symptoms from late childhood through adolescence: A longitudinal study of Mexican-origin youth.</t>
  </si>
  <si>
    <t>Atherton, Olivia E.; Ferrer, Emilio; Robins, Richard W.</t>
  </si>
  <si>
    <t>2017-56312-001</t>
  </si>
  <si>
    <t>10.1037/dev0000489</t>
  </si>
  <si>
    <t>Adolescent Development; Childhood Development; Externalization; Mexican Americans; Symptoms; Attention Deficit Disorder with Hyperactivity; Conduct Disorder; Oppositional Defiant Disorder; Externalizing Symptoms; Childhood (birth-12 yrs); School Age (6-12 yrs); Adolescence (13-17 yrs); Adulthood (18 yrs &amp; older); Male; Female</t>
  </si>
  <si>
    <t>Youth who exhibit externalizing problems during childhood and adolescence are at an increased risk for a wide range of detrimental life outcomes. Despite the profound consequences of externalizing problems for children, their families, and their communities, we know less about the precise trajectory of externalizing symptoms across late childhood and adolescence, because of the paucity of fine-grained longitudinal research. The present study examined the development of externalizing symptoms in a large sample (N = 674) of Mexican-origin youth, assessed annually from age 10 to 17. Specifically, we conducted analyses to better understand the trajectories of attention-deficit-hyperactivity disorder (ADHD), oppositional defiant disorder (ODD), and conduct disorder (CD) symptoms (and their codevelopment), as well as how gender and cultural factors influence symptom trajectories. On average, ADHD symptoms slowly declined from age 10 to 17; ODD symptoms increased until age 13 and then declined thereafter; and, CD symptoms slowly increased until age 15 and then leveled off. ADHD, ODD, and CD symptoms predicted change in each other, indicating youth may accumulate multiple forms of externalizing problems over time. Boys reported fewer externalizing problems than girls, contrary to expectations. Consistent with the Immigrant Paradox, we found that 2nd + generation youth, youth who endorsed fewer traditional Mexican cultural values (traditional gender roles, traditional family values, and religiosity), and youth who engaged in less Spanish/more English language use were at increased risk for exhibiting ADHD, ODD, and CD symptoms from childhood through adolescence. We discuss the theoretical and practical implications of these developmental patterns among Mexican-origin youth. (PsycINFO Database Record (c) 2019 APA, all rights reserved)</t>
  </si>
  <si>
    <t>http://search.ebscohost.com.proxy-ub.rug.nl/login.aspx?direct=true&amp;db=psyh&amp;AN=2017-56312-001&amp;site=ehost-live&amp;scope=site</t>
  </si>
  <si>
    <t>The differential effect of acculturation modes on immigrant consumers' complaining behavior: The case of West African immigrants to Canada.</t>
  </si>
  <si>
    <t>Souiden, Nizar; Ladhari, Riadh</t>
  </si>
  <si>
    <t>Journal of Consumer Marketing</t>
  </si>
  <si>
    <t>2011-16171-001</t>
  </si>
  <si>
    <t>10.1108/07363761111149974</t>
  </si>
  <si>
    <t>Acculturation; Consumer Attitudes; Consumer Behavior; Immigration; Adulthood (18 yrs &amp; older); Young Adulthood (18-29 yrs); Thirties (30-39 yrs); Middle Age (40-64 yrs)</t>
  </si>
  <si>
    <t>Purpose: The objectives of this study are: to gain a better understanding of the modes of acculturation of West African immigrants in Canada; to relate these modes of acculturation to consumers’ perceived likelihood of successful complaint and complaining behavior; and to compare consumers’ complaint attitudes and behavior in their home countries (i.e. original countries) and the host country (Canada). Design/methodology/approach: An empirical study is conducted among a sample of 218 immigrants from several West African countries now living in Canada. ANOVA and paired samples t-tests were used to test the research hypotheses. Findings: The results show that the majority of the surveyed West African immigrants fall into one of two acculturation groups: integrated or separated. Although there are no significant differences between these two groups in terms of their perception that a consumer complaint is more likely to be successful in Canada than in their home countries, there are significant differences in their complaining behaviors in Canada and at home. Research limitations/implications: Marketers should be aware that not all immigrants are the same and that market segmentation based on the degree of immigrants’ acculturation might lead to a sound marketing strategy. Practical implications: Caution should be exercised in generalizing the research results to the entire population of West African immigrants in Canada. Originality/value: Most previous studies of the consumption behavior of immigrants have examined their perceptions and behavior mainly in the context of the host country, while overlooking their perceptions and behavior in their home countries. The present study has addressed this gap in the literature by investigating the perceptions and behavior of West African immigrants to Canada in both contexts. (PsycInfo Database Record (c) 2020 APA, all rights reserved)</t>
  </si>
  <si>
    <t>http://search.ebscohost.com.proxy-ub.rug.nl/login.aspx?direct=true&amp;db=psyh&amp;AN=2011-16171-001&amp;site=ehost-live&amp;scope=site</t>
  </si>
  <si>
    <t>The educational expectations of children of immigrants in Italy.</t>
  </si>
  <si>
    <t>Minello, Alessandra; Barban, Nicola</t>
  </si>
  <si>
    <t>2012-18800-004</t>
  </si>
  <si>
    <t>10.1177/0002716212442666</t>
  </si>
  <si>
    <t>Educational Aspirations; Expectations; Immigration; Student Attitudes; Childhood (birth-12 yrs); Neonatal (birth-1 mo); Infancy (2-23 mo); Preschool Age (2-5 yrs); School Age (6-12 yrs); Adolescence (13-17 yrs); Male; Female</t>
  </si>
  <si>
    <t>In this article, the authors investigate the short-run educational expectations and long-term educational aspirations of the children of immigrants living in Italy and attending eighth grade. The authors look at educational ambition, both as a predictor of educational choice and as a measure of social integration. They consider both secondary-school track and university goals. Data come from the ITAGEN2 survey (2005–2006). First, the authors analyze the relationship of short-run expectations and long-term aspirations to structural (e.g., migration status and country of origin) and social (e.g., family socioeconomic status and friendship ties) conditions. The latter seem to be determinants of both expectations and aspirations, but long-term educational aspirations are not associated with migration status. Second, the authors investigate the relevance of context in delineating educational attitudes. The authors performed a multilevel analysis including both individual-and school-level variables. Their results show that attending a school where most of the Italian pupils have high educational expectations may lead children of immigrants to enhance their own aspirations. (PsycINFO Database Record (c) 2016 APA, all rights reserved)</t>
  </si>
  <si>
    <t>http://search.ebscohost.com.proxy-ub.rug.nl/login.aspx?direct=true&amp;db=psyh&amp;AN=2012-18800-004&amp;site=ehost-live&amp;scope=site</t>
  </si>
  <si>
    <t>The effect of acculturation and immigration on the victimization and psychological distress link in a national sample of Latino women.</t>
  </si>
  <si>
    <t>Cuevas, Carlos A.; Sabina, Chiara; Bell, Kristin A.</t>
  </si>
  <si>
    <t>2012-11862-002</t>
  </si>
  <si>
    <t>10.1177/0886260511425797</t>
  </si>
  <si>
    <t>Acculturation; Distress; Immigration; Victimization; Latinos/Latinas; Human Females; Mental Health; Trauma; Adulthood (18 yrs &amp; older); Female</t>
  </si>
  <si>
    <t>Distinct bodies of research have examined the link between victimization and psychological distress and cultural variables and psychological health, but little is known about how cultural variables affect psychological distress among Latino victims. Substantial research has concluded that Latino women are more likely than non-Latino women to experience trauma-related symptoms following victimization. In addition, examination of different types of cultural adaptation has found results supporting the idea that maintaining ties with one’s culture of origin may be protective against negative mental health outcomes. The present study evaluates the effect of victimization, immigrant status, and both Anglo and Latino orientation on psychological distress in a national sample of Latino women. Results indicate that along with the total count of victimization experiences, Anglo and/or Latino orientation were strong predictors of all forms of psychological distress. Anglo orientation also functioned as a moderator between victimization and psychological distress measures for anger, dissociation, and anxiety. The results suggest a more nuanced and complex interaction between cultural factors, victimization, and psychological distress. (PsycINFO Database Record (c) 2016 APA, all rights reserved)</t>
  </si>
  <si>
    <t>http://search.ebscohost.com.proxy-ub.rug.nl/login.aspx?direct=true&amp;db=psyh&amp;AN=2012-11862-002&amp;site=ehost-live&amp;scope=site</t>
  </si>
  <si>
    <t>The effect of acculturation and social support on change in mental health among young immigrants.</t>
  </si>
  <si>
    <t>Oppedal, Brit; Røysamb, Espen; Sam, David Lackland</t>
  </si>
  <si>
    <t>2004-19613-001</t>
  </si>
  <si>
    <t>10.1080/01650250444000126</t>
  </si>
  <si>
    <t>Acculturation; Adolescent Development; Immigration; Mental Health; Social Support; Ethnic Identity; Identity Crisis; Junior High School Students; Self-Esteem; Social Discrimination; Adolescence (13-17 yrs); Male; Female</t>
  </si>
  <si>
    <t>The aim of the study was to examine the mediating and moderating roles of social support in the acculturation-mental health link, and to investigate how these processes combine with self-esteem to affect mental health change. Questionnaire data were collected twice from 137 immigrant students, first at the upstart in junior high school, and then again a year later (8th and 9th grade). Acculturation was described in positive terms as a developmental process towards gaining competence within more than one sociocultural setting. Perceived discrimination and ethnic identity crisis were included as risk factors in this process. A model of structural relations was tested, which after some modifications demonstrated a close fit to the data. The results supported our suggestions of two indirect paths of effects of acculturation on mental health change: one through culture domain-specific social support and another through self-esteem. Self-esteem was also identified as a mediator of identity crisis. Significant interaction effects between social support and culture competencies were demonstrated in addition to buffer effects of class and family support in relation to identity crisis and discrimination respectively. The study adds to our understanding of positive and negative developmental pathways in multicultural societies. (PsycINFO Database Record (c) 2016 APA, all rights reserved)</t>
  </si>
  <si>
    <t>http://search.ebscohost.com.proxy-ub.rug.nl/login.aspx?direct=true&amp;db=psyh&amp;AN=2004-19613-001&amp;site=ehost-live&amp;scope=site</t>
  </si>
  <si>
    <t>The effect of age and spiritual well-being on acculturation and general heath outcomes in the Romanian immigrant population in the greater Sacramento area.</t>
  </si>
  <si>
    <t>Dinut, Virginica</t>
  </si>
  <si>
    <t>2014-99141-059</t>
  </si>
  <si>
    <t>Acculturation; Adaptation; Spiritual Well Being; Aging; Immigration; Spirituality; Well Being</t>
  </si>
  <si>
    <t>In recent years, much attention has been focused on issues surrounding immigration from a psychological perspective, the problems in adaptation as a result of migration and resettlement, and the factors that influence this process. The purpose of this study was to examine the relationship of age and spiritual well-being to acculturation and general health outcomes. The study employed a cross-sectional design and a convenience sampling method. Data was collected from 62 Romanian immigrant adults in the greater Sacramento, California region. The instruments used to collect data were a demographic form, the Spiritual Well-Being Scale, the Stephenson Multigroup Acculturation Scale, and the General Health Questionnaire. All instruments were translated into Romanian, the native language of the participants, by the researcher who is fluent in both English and Romanian. Five hypotheses were developed: (a) Participants who immigrated at a younger age will have higher levels of acculturation, (b) Participants who immigrated at a younger age will report better general health outcomes, (c) Participants with higher levels of spiritual well-being will report better physical and psychological health, (d) Participants who will report higher levels of spiritual will also report higher levels of acculturation, and (e) Orthodox participants will present with lower levels of acculturation. Since all of the variables included in each analysis were categorical, chi-square analyses were conducted to test the research hypothesis. The results of this dissertation supported two of the hypothesis: age at immigration seems to affect the level of acculturation and spiritual well-being seems to affect physical health. The finding which did not support the hypothesis showed that there is no significant relationship between age at immigration and the level of physical and psychological health; spiritual well-being and the level of acculturation, and psychological health; and religious affiliation and the level of acculturation. This study provides additional information that may help explain Romanian immigrants' acculturation experience, spiritual well-being and general health outcomes. (PsycINFO Database Record (c) 2019 APA, all rights reserved)</t>
  </si>
  <si>
    <t>http://search.ebscohost.com.proxy-ub.rug.nl/login.aspx?direct=true&amp;db=psyh&amp;AN=2014-99141-059&amp;site=ehost-live&amp;scope=site</t>
  </si>
  <si>
    <t>The effect of immigration and acculturation on victimization among a national sample of Latino women.</t>
  </si>
  <si>
    <t>Sabina, Chiara; Cuevas, Carlos A.; Schally, Jennifer L.</t>
  </si>
  <si>
    <t>2012-30266-001</t>
  </si>
  <si>
    <t>10.1037/a0030500</t>
  </si>
  <si>
    <t>Acculturation; Human Females; Immigration; Victimization; Latinos/Latinas; Adulthood (18 yrs &amp; older); Female</t>
  </si>
  <si>
    <t>The current study examined the effect of immigrant status, acculturation, and the interaction of acculturation and immigrant status on self-reported victimization in the United States among Latino women, including physical assault, sexual assault, stalking, and threatened violence. In addition, immigrant status, acculturation, gender role ideology, and religious intensity were examined as predictors of the count of victimization among the victimized subsample. The Sexual Assault Among Latinas (SALAS) Study surveyed 2,000 adult Latino women who lived in high-density Latino neighborhoods in 2008. The present study reports findings for a subsample of women who were victimized in the United States (n = 568). Immigrant women reported significantly less victimization than U.S.-born Latino women in bivariate analyses. Multivariate models showed that Anglo orientation was associated with greater odds of all forms of victimization, whereas both Latino orientation and being an immigrant were associated with lower odds of all forms of victimization. Latino orientation was more protective for immigrant women than for U.S.-born Latino women with regard to sexual victimization. Among the victimized subsample, being an immigrant, Anglo acculturation, and masculine gender role were associated with a higher victimization count, whereas Latino orientation and religious intensity were associated with a lower victimization count. The findings point to the risk associated with being a U.S. minority, the protective value of Latino cultural maintenance, and the need for services to reach out to Anglo acculturated Latino women. (PsycINFO Database Record (c) 2016 APA, all rights reserved)</t>
  </si>
  <si>
    <t>http://search.ebscohost.com.proxy-ub.rug.nl/login.aspx?direct=true&amp;db=psyh&amp;AN=2012-30266-001&amp;site=ehost-live&amp;scope=site</t>
  </si>
  <si>
    <t>The effect of perceived overqualification on job satisfaction and career satisfaction among immigrants: Does host national identity matter?</t>
  </si>
  <si>
    <t>Wassermann, Maria; Fujishiro, Kaori; Hoppe, Annekatrin</t>
  </si>
  <si>
    <t>2017-50434-009</t>
  </si>
  <si>
    <t>10.1016/j.ijintrel.2017.09.001</t>
  </si>
  <si>
    <t>Acculturation; Human Migration; Job Satisfaction; Occupations; Employee Characteristics; Adulthood (18 yrs &amp; older); Male; Female</t>
  </si>
  <si>
    <t>Overqualification is a form of person-job misfit that is common among those who reside in a foreign country. It is associated with poor work-related well-being and can inhibit full adjustment to the host society. The goal of our study is to examine the impact of perceived overqualification on job satisfaction and career satisfaction among immigrants. Furthermore, we investigated immigrants’ host national identity as a moderator of the impact of perceived overqualification on job satisfaction and career satisfaction. We analysed longitudinal online survey data from 124 Italian and Spanish immigrants who migrated to Germany between 2000 and 2014. Regression analyses show that perceived overqualification is negatively associated with job satisfaction six months later. Furthermore, host national identity moderates the association between perceived overqualification and job satisfaction: low overqualification is beneficial for job satisfaction whereas high overqualification is a threat for job satisfaction, especially for immigrants who identify strongly with the host society. We do not find corresponding direct and moderating effects on career satisfaction. We conclude that indicators of acculturation, such as host national identity, are worth considering in order to understand the impact of person-job misfit on work-related well-being among immigrants. (PsycINFO Database Record (c) 2018 APA, all rights reserved)</t>
  </si>
  <si>
    <t>http://search.ebscohost.com.proxy-ub.rug.nl/login.aspx?direct=true&amp;db=psyh&amp;AN=2017-50434-009&amp;site=ehost-live&amp;scope=site</t>
  </si>
  <si>
    <t>The effect of social support on psychological flourishing and distress among migrants in Australia.</t>
  </si>
  <si>
    <t>du Plooy, Daniel R.; Lyons, Anthony; Kashima, Emiko S.</t>
  </si>
  <si>
    <t>2019-19058-009</t>
  </si>
  <si>
    <t>10.1007/s10903-018-0745-2</t>
  </si>
  <si>
    <t>Distress; Immigration; Mental Health; Social Support; Adulthood (18 yrs &amp; older); Male; Female</t>
  </si>
  <si>
    <t>We examine the access that culturally diverse migrant groups in Australia have to different sources of social support and how this access, or lack thereof, is associated with psychological flourishing and distress. A national online survey was conducted with 1334 migrants in Australia, examining 11 different sources of social support, including family, friends, relationship partner, acquaintances, work colleagues, health professionals, government agencies, community organisations, religious groups, social groups and online groups. We also examined migrants from different cultural groups. All sources of support were significantly associated with mental health, but somewhat differently for the dimensions of distress and flourishing. Flourishing was linked to higher support from all 11 sources, though not for all cultural groups. High psychological distress was linked to lower support only from family, friends, a partner, acquaintances, work colleagues and social groups, and only for some cultural groups. In particular, for distress, there was no link between migrants from Southern Asia and family support, as well as Confucian Asia groups and friend support. Understanding where migrants from different cultural origins draw their support from could help policymakers and support workers improve health and well-being in migrant populations, especially by focusing on sources of support that are linked to lower distress and greater flourishing, as indicated in this study. (PsycInfo Database Record (c) 2020 APA, all rights reserved)</t>
  </si>
  <si>
    <t>http://search.ebscohost.com.proxy-ub.rug.nl/login.aspx?direct=true&amp;db=psyh&amp;AN=2019-19058-009&amp;site=ehost-live&amp;scope=site</t>
  </si>
  <si>
    <t>The effects of acculturation on asthma burden in a community sample of Mexican American School children.</t>
  </si>
  <si>
    <t>Martin, Molly A.; Shalowitz, Madeleine U.; Mijanovich, Tod; Clark-Kauffman, Elizabeth; Perez, Elizabeth; Berry, Carolyn A.</t>
  </si>
  <si>
    <t>2007-11741-015</t>
  </si>
  <si>
    <t>10.2105/AJPH.2006.092239</t>
  </si>
  <si>
    <t>Acculturation; Asthma; Caregivers; Schools; Community Psychology; Stress; Childhood (birth-12 yrs); School Age (6-12 yrs); Male; Female</t>
  </si>
  <si>
    <t>Objectives: We sought to determine whether low acculturation among Mexican American caregivers protects their children against asthma. Methods: Data were obtained from an observational study of urban pediatric asthma. Dependent variables were children's diagnosed asthma and total (diagnosed plus possible) asthma. Regression models were controlled for caregivers' level of acculturation, education, marital status, depression, life stress, and social support and children's insurance. Results: Caregivers' level of acculturation was associated with children's diagnosed asthma (P = .025) and total asthma (P = .078) in bivariate analyses. In multivariate models, protective effects of caregivers' level of acculturation were mediated by the other covariates. Independent predictors of increased diagnosed asthma included caregivers' life stress (odds ratio [OR] = 1.12, P = .005) and children's insurance, both public (OR = 4.71, P = .009) and private (OR = 2.87, P = .071). Only caregiver's life stress predicted increased total asthma (OR = 1.21, P = .001). Conclusions: The protective effect of caregivers' level of acculturation on diagnosed and total asthma for Mexican American children was mediated by social factors, especially caregivers' life stress. Among acculturation measures, foreign birth was more predictive of disease status than was language use or years in country. Increased acculturation among immigrant groups does not appear to lead to greater asthma risk. (PsycInfo Database Record (c) 2020 APA, all rights reserved)</t>
  </si>
  <si>
    <t>http://search.ebscohost.com.proxy-ub.rug.nl/login.aspx?direct=true&amp;db=psyh&amp;AN=2007-11741-015&amp;site=ehost-live&amp;scope=site</t>
  </si>
  <si>
    <t>The effects of bilingualism and acculturation on neuropsychological test performance: A study with Armenian Americans.</t>
  </si>
  <si>
    <t>Kazandjian, Seta</t>
  </si>
  <si>
    <t>2007-99004-042</t>
  </si>
  <si>
    <t>Bilingualism; Communities; Concept Formation; Narratives; Neuropsychological Assessment; Test Performance; Male; Female</t>
  </si>
  <si>
    <t>Given the extensive immigration into the United States from various countries and the strong ethnic communities that exist within the major cities of the United States, the effects of bilingualism and acculturation on neuropsychological test performance of non-Hispanic ethnic Americans are crucial. This study examined differences in neuropsychological test performance between non-Armenian, monolingual, Caucasian-American adults (NA) and Americans of Armenian descent (AA), with varying levels of bilingual fluency and several immigration-related factors. Forty bilingual AA (62.5% female) and 43 NA (57.5% female) participants were administered a comprehensive battery of neuropsychological tests. AAs were subdivided into groups based on their performance on the Wide Range Achievement Test-3 (WRAT-3) reading measure (Wilkinson, 1993; creating low- and high-English Fluency groups), an experimental Armenian version of a word-reading test (creating low- and high-Armenian Fluency groups), and the Marin and Marin Acculturation scales (1991) for Language Preference (creating low- and high-language acculturated groups) and Social Relations (creating low- and high-socially acculturated groups). AAs were also grouped by years of Armenian education, immigration age, and origin of immigration. A factor analysis on the 30 test variables yielded 10 meaningful neuropsychological factors (i.e., Learning, Narrative Memory, Nonverbal Processing, Language, Fluency, Conceptualization, Mental Control, Set-Shifting, Attention, and Processing Speed). The data were analyzed using analysis of covariance for each factor, controlling for age, education, and English Fluency. The Language factor emerged as particularly vulnerable, with poorer performance seen by low-English, low-Armenian, low-language acculturated, low-socially acculturated, late immigrating AAs, as well as AAs with more than six years of Armenian education, compared to NAs. Similar results were seen for Narrative Memory with these groups, though the differences were not as striking as for Language. Poorer performance on Learning was seen by Low Language Acculturated AAs compared to High Language Acculturated AAs and NAs. Three variables emerged as strong predictors of performance on Language, Narrative Memory and Learning factors: English Fluency, Language Acculturation, and Immigration Age. These results suggest that differences can be seen on neuropsychological tests with strong verbal components (e.g., vocabulary, naming, story-memory, and verbal list-learning) in bilingual Caucasian immigrants as compared to monolingual, US-born Caucasian-Americans. (PsycINFO Database Record (c) 2016 APA, all rights reserved)</t>
  </si>
  <si>
    <t>http://search.ebscohost.com.proxy-ub.rug.nl/login.aspx?direct=true&amp;db=psyh&amp;AN=2007-99004-042&amp;site=ehost-live&amp;scope=site</t>
  </si>
  <si>
    <t>The effects of intergroup climate on immigrants’ acculturation preferences.</t>
  </si>
  <si>
    <t>Christ, Oliver; Asbrock, Frank; Dhont, Kristof; Pettigrew, Thomas F.; Wagner, Ulrich</t>
  </si>
  <si>
    <t>Zeitschrift für Psychologie</t>
  </si>
  <si>
    <t>2013-43041-007</t>
  </si>
  <si>
    <t>10.1027/2151-2604/a000155</t>
  </si>
  <si>
    <t>Acculturation; Human Migration; Immigration; Intergroup Dynamics; Preferences; Adolescence (13-17 yrs); Adulthood (18 yrs &amp; older); Young Adulthood (18-29 yrs); Thirties (30-39 yrs); Middle Age (40-64 yrs); Aged (65 yrs &amp; older); Male; Female</t>
  </si>
  <si>
    <t>The effect of the intergroup climate on acculturation preferences among host-majority and immigrant group members has been long acknowledged in the acculturation literature. Only recently, however, research has started to directly examine the effect of the intergroup climate on acculturation preferences. In the present research, we aimed to contribute to this new and important line of research by adopting a multilevel approach to examine the effect of the intergroup climate (social context level of analysis) on immigrants’ acculturation preferences (individual level of analysis) over and above individual-level predictors of acculturation preferences. Based on recent cross-sectional survey data from Germany, we examined the acculturation preferences (cultural maintenance and maintenance of intergroup relations) of members of immigrant groups (immigrants from non-Western countries; Nindividual level = 317) living in different districts in Germany (Ndistrict-level = 179). On the social context level, we used the mean prejudice- and acculturation preferences-scores of the German respondents (N = 3,495) as proxies for the intergroup climate within these districts. Results of multilevel path analysis showed that on the context level, a negative intergroup climate (i.e., a higher amount of prejudice of the German respondents within the districts) was related to a stronger desire for cultural maintenance among the immigrants. The potential implications of a hostile intergroup climate for the acculturation process are discussed. (PsycINFO Database Record (c) 2016 APA, all rights reserved)</t>
  </si>
  <si>
    <t>http://search.ebscohost.com.proxy-ub.rug.nl/login.aspx?direct=true&amp;db=psyh&amp;AN=2013-43041-007&amp;site=ehost-live&amp;scope=site</t>
  </si>
  <si>
    <t>The effects of language brokering frequency and feelings on Mexican‐heritage youth's mental health and risky behaviors.</t>
  </si>
  <si>
    <t>Kam, Jennifer A.</t>
  </si>
  <si>
    <t>Journal of Communication</t>
  </si>
  <si>
    <t>2011-11653-007</t>
  </si>
  <si>
    <t>10.1111/j.1460-2466.2011.01552.x</t>
  </si>
  <si>
    <t>Emotions; Language; Mental Health; Risk Taking; Verbal Communication; Alcohol Drinking Patterns; Drug Usage; Childhood (birth-12 yrs); School Age (6-12 yrs); Adolescence (13-17 yrs); Male; Female</t>
  </si>
  <si>
    <t>Language brokering is the communication process where individuals with no formal training (often children of immigrant families) linguistically mediate for 2 or more parties (usually adult family members and individuals from mainstream culture). This study examined the direct and indirect effects of language brokering on mental health and risky behaviors. Mexican‐heritage youth (N = 684) from schools in Phoenix, AZ, completed surveys at 3 waves from 7th through 8th grades. Language brokering frequency and negative brokering feelings were positively associated with family‐based acculturation stress, which was positively associated with alcohol use and other risky behaviors. Yet, brokering frequency was negatively associated with other risky behaviors, and positive brokering feeling was negatively associated with cigarette use. Implications for these findings are discussed. (PsycINFO Database Record (c) 2018 APA, all rights reserved)</t>
  </si>
  <si>
    <t>http://search.ebscohost.com.proxy-ub.rug.nl/login.aspx?direct=true&amp;db=psyh&amp;AN=2011-11653-007&amp;site=ehost-live&amp;scope=site</t>
  </si>
  <si>
    <t>The effects of perceived immigrant stress, acculturation strategies, and conflict resolution styles on marital satisfaction of Chinese American immigrants.</t>
  </si>
  <si>
    <t>Liu, Anita Meng</t>
  </si>
  <si>
    <t>2009-99180-387</t>
  </si>
  <si>
    <t>Acculturation; Conflict Resolution; Immigration; Marital Satisfaction; Strategies; Marital Relations; Stress</t>
  </si>
  <si>
    <t>The present study examined the effects of perceived immigrant stress, conflict resolution styles, and acculturation strategies on marital satisfaction of 121 Chinese American immigrants living in Southern California. Besides the established Dyadic Adjustment Scale, Asian American Values Scale-Multidimensional, European American Values Scale for Asian Americans-Revised, Conflict Resolution Style Inventory, and Hassles Inventory for Chinese American Immigrants were administered in both English and Chinese languages to the community sample. Multiple regression analyses revealed that perceived immigrant stress and withdrawal style negatively predict marital satisfaction whereas problem solving style predicted marital satisfaction in the positive direction. Acculturation variables such as assimilation strategy, length of stay in the U.S., and perceived immigrant stress were found to have significant effects on problem solving style and withdrawal style, both predicting marital satisfaction. Findings validated some aspects of Berry's acculturation model and Karney and Bradbury's vulnerability-stress-adaptation model of marital quality in the Chinese immigrant sample. Preliminary support for an integrated marital-acculturation model for Chinese American immigrants was also evident. Research and practice implications were discussed. (PsycINFO Database Record (c) 2016 APA, all rights reserved)</t>
  </si>
  <si>
    <t>http://search.ebscohost.com.proxy-ub.rug.nl/login.aspx?direct=true&amp;db=psyh&amp;AN=2009-99180-387&amp;site=ehost-live&amp;scope=site</t>
  </si>
  <si>
    <t>The evaluation of immigrants’ political acculturation strategies.</t>
  </si>
  <si>
    <t>2015-58364-012</t>
  </si>
  <si>
    <t>10.1016/j.ijintrel.2015.04.002</t>
  </si>
  <si>
    <t>Acculturation; Immigration; Intergroup Dynamics; Muslims; Political Processes; Political Attitudes; Strategies; Adulthood (18 yrs &amp; older); Young Adulthood (18-29 yrs); Thirties (30-39 yrs); Middle Age (40-64 yrs); Aged (65 yrs &amp; older); Very Old (85 yrs &amp; older); Male; Female</t>
  </si>
  <si>
    <t>Although acculturation involves changes of both minority and majority group members, previous research focused primarily on the former. Furthermore, while the relevance of acculturation in the socio-cultural domain is well established, research has largely ignored acculturation in the political domain. This paper presents two experimental studies that investigated the extent to which Dutch majority members’ out-group feelings are influenced by the political acculturation strategies of Muslim immigrants. Majority members reacted strongly to the different acculturation strategies, defined in terms of group interests and goals. Their feelings were more negative when Muslims were presented as politically advancing the interests of their in-group, while Muslims furthering goals that benefit society as a whole were met with considerably less resistance. The differential evaluation of the political acculturation strategies depended on perceptions of power threat. (PsycINFO Database Record (c) 2016 APA, all rights reserved)</t>
  </si>
  <si>
    <t>http://search.ebscohost.com.proxy-ub.rug.nl/login.aspx?direct=true&amp;db=psyh&amp;AN=2015-58364-012&amp;site=ehost-live&amp;scope=site</t>
  </si>
  <si>
    <t>The experience of discrimination among newly arrived Poles in Ireland and the Netherlands.</t>
  </si>
  <si>
    <t>McGinnity, Frances; Gijsberts, Mérove</t>
  </si>
  <si>
    <t>2018-12633-009</t>
  </si>
  <si>
    <t>10.1080/01419870.2017.1332376</t>
  </si>
  <si>
    <t>Immigration; Social Discrimination; Social Integration; Stereotyped Attitudes; Adulthood (18 yrs &amp; older); Male; Female</t>
  </si>
  <si>
    <t>This paper examines discrimination and early integration among Polish migrants in Ireland and the Netherlands using a new immigrants’ panel survey. Drawing on insights from research on intergroup relations, stereotyping, ethnic competition and Bail’s notion of the salience of racial and cultural boundaries, the paper develops hypotheses about the role of experience in and exposure to the host country, of gender and of country context in migrants’ experience of discrimination. The key finding is higher discrimination among Poles in the Netherlands and a greater increase in discrimination over time, suggesting that perceptions of ethnic competition, negative public debate and ensuing stereotypes about East European migrants are contributing to a more negative experience for Polish migrants in the Netherlands as compared to Ireland. (PsycINFO Database Record (c) 2019 APA, all rights reserved)</t>
  </si>
  <si>
    <t>http://search.ebscohost.com.proxy-ub.rug.nl/login.aspx?direct=true&amp;db=psyh&amp;AN=2018-12633-009&amp;site=ehost-live&amp;scope=site</t>
  </si>
  <si>
    <t>The experience of Korean immigrant women adjusting to Canadian society.</t>
  </si>
  <si>
    <t>Choi, Jaeyoung; Kushner, Kaysi E.; Mill, Judy; Lai, Daniel W. L.</t>
  </si>
  <si>
    <t>2014-32736-001</t>
  </si>
  <si>
    <t>10.1007/s10823-014-9235-8</t>
  </si>
  <si>
    <t>Acculturation; Human Females; Immigration; Korean Cultural Groups; Ethnography; Quality of Life; Self-Employment; Society; Adulthood (18 yrs &amp; older); Middle Age (40-64 yrs); Aged (65 yrs &amp; older); Very Old (85 yrs &amp; older); Female</t>
  </si>
  <si>
    <t>The acculturation process is an important factor in the experience of all immigrants. Although previous studies have indicated the challenges faced by Korean immigrants, little attention has been paid to Korean women’s immigration experiences. A focused ethnography was used to examine midlife and older Korean immigrant women’s experiences following their immigration to Canada. Fifteen women were interviewed in a city in Western Canada. The findings showed that in coming to Canada, women focused on caring for their children and often sacrificed their personal dreams. They had to be employed to support their families, and received support from family and government. Women participated regularly in a Korean Church and drew on their Christian faith to ease their adjustment. They retained hopes for the future including good health and a better life for their children. Most women indicated that it was difficult to integrate into Canadian society but they never gave up on their adjustment to a new culture. In this manuscript, the adjustment experience of the immigrant women is discussed in the context of an acculturation framework. The findings will enhance health professionals’ awareness of adjustment patterns and associated challenges to Korean immigrant women’s quality of life. (PsycINFO Database Record (c) 2016 APA, all rights reserved)</t>
  </si>
  <si>
    <t>http://search.ebscohost.com.proxy-ub.rug.nl/login.aspx?direct=true&amp;db=psyh&amp;AN=2014-32736-001&amp;site=ehost-live&amp;scope=site</t>
  </si>
  <si>
    <t>The experiences of migration and acculturation as reported by displaced people from B&amp;H (Bosnia and Herzegovina) living in Vienna (Austria).</t>
  </si>
  <si>
    <t>Kučera, Andrea; Lueger-Schuster, Brigitte</t>
  </si>
  <si>
    <t>The psychosocial consequences of war: Results of empirical research from the territory of former Yugoslavia.</t>
  </si>
  <si>
    <t>2004-16447-016</t>
  </si>
  <si>
    <t>D O O OTISAK</t>
  </si>
  <si>
    <t>Acculturation; Human Migration; Psychosocial Factors; Refugees; War; Adulthood (18 yrs &amp; older); Young Adulthood (18-29 yrs); Thirties (30-39 yrs); Middle Age (40-64 yrs); Aged (65 yrs &amp; older); Male; Female</t>
  </si>
  <si>
    <t>Inquires into the psychosocial living conditions in the year 2000 of Bosnian refugees who sought refuge in Austria as a result of the war. The aim of the investigation was to throw light on the experiences of migration and the acculturation of these displaced people living in Vienna. Altogether 110 women (N=58; 52.7%) and men (N=52, 47.3%) who were living in Austria because of the war participated in this study. The sample consists of adults aged between 21 and 72 years. The average age of the women in the sample is 37.95 years; the average age of the men is 40.58 years. Life as a refugee means a drastic change in the earlier life-situation and brings a series of psychological adaptation problems. Bosnian refugees in Austria have had to clear many hurdles. As reported, various situations were and still remain difficult for the Bosnians to manage and control. Considering the agony of life in exile, it must be said that the Bosnian refugees in the sample are trying their best to cope with life and to overcome difficulties. Nevertheless, they waver between staying in Austria and going back to Bosnia. They are still faced with acculturation problems, which make integration difficult for them. (PsycInfo Database Record (c) 2020 APA, all rights reserved)</t>
  </si>
  <si>
    <t>http://search.ebscohost.com.proxy-ub.rug.nl/login.aspx?direct=true&amp;db=psyh&amp;AN=2004-16447-016&amp;site=ehost-live&amp;scope=site</t>
  </si>
  <si>
    <t>The feasibility of recruiting and retaining perinatal Latinas in a biomedical study exploring neuroendocrine function and postpartum depression.</t>
  </si>
  <si>
    <t>Lara-Cinisomo, Sandraluz; Plott, Jasmine; Grewen, Karen; Meltzer-Brody, Samantha</t>
  </si>
  <si>
    <t>2016-38255-024</t>
  </si>
  <si>
    <t>10.1007/s10903-016-0391-5</t>
  </si>
  <si>
    <t>Biological Markers; Immigration; Postpartum Depression; Pregnancy; Latinos/Latinas; Experimental Subjects; Neuroendocrinology; Adulthood (18 yrs &amp; older); Female</t>
  </si>
  <si>
    <t>[Correction Notice: An Erratum for this article was reported in Vol 18(5) of Journal of Immigrant and Minority Health (see record [rid]2016-38255-025[/rid]). The original version of this article unfortunately contained an error in Fig. 1. The corrected figure is given in erratum.] This study evaluates the feasibility of enrolling and retaining perinatal immigrant and U.S.-born Latinas in a laboratory-based study that includes the collection of biomarkers implicated in the development of postpartum depression. This prospective study followed Latinas from third trimester of pregnancy to 12 weeks postpartum. Women were enrolled during pregnancy and interviewed at 4, 8 and 12 weeks postpartum. Demographic information, depression status and breastfeeding practices were ascertained using validated Spanish- and English-measures. Blood samples were collected at the 8-week postpartum laboratory visit during infant feeding and pain testing. Feasibility was demonstrated with 85 % retention of the original 34 prenatal women enrolled in the study. The majority (88 %) of women enrolled attended the 8-week laboratory visit regardless of depression status. This is the first study to demonstrate feasibility of enrolling and retaining depressed and nondepressed perinatal immigrant and U.S.-born Latinas in biomedical research. (PsycINFO Database Record (c) 2016 APA, all rights reserved)</t>
  </si>
  <si>
    <t>http://search.ebscohost.com.proxy-ub.rug.nl/login.aspx?direct=true&amp;db=psyh&amp;AN=2016-38255-024&amp;site=ehost-live&amp;scope=site</t>
  </si>
  <si>
    <t>The Food Similarity Index: A new measure of dietary acculturation based on dietary recall data.</t>
  </si>
  <si>
    <t>Van Hook, Jennifer; Quiros, Susana; Frisco, Michelle L.</t>
  </si>
  <si>
    <t>2015-13114-016</t>
  </si>
  <si>
    <t>10.1007/s10903-014-0107-7</t>
  </si>
  <si>
    <t>Diets; Eating Behavior; Food; Ingestion; Latinos/Latinas; Acculturation; Risk Factors; Adulthood (18 yrs &amp; older); Male; Female</t>
  </si>
  <si>
    <t>This study introduces a flexible indicator of dietary acculturation that measures immigrants’ eating behavior relative to U.S.-born persons. Using 24-hour dietary recall data from the continuous National Health and Nutrition Examination Survey pooled across multiple years from 1999/00 through 2009/10, we developed and tested the validity of the 'Food Similarity Index' (FSI), which indicates the similarity of the foods consumed by individuals to the foods most commonly consumed by same-aged U.S-born persons of all racial/ethnic groups. We demonstrate its utility here for children and adults of four racial-ethnic groups. FSI was positively associated with the consumption of common American foods and negatively associated with eating Hispanic and Asian foods. In addition, FSI was associated with generational status among all racial/ethnic groups and duration of U.S. residence among Hispanics. FSI was also negatively associated with the Healthy Eating Index 2010. The FSI enables researchers to compare immigrants’ dietary patterns over generations and across groups. It can be used to study how dietary acculturation shapes health risk factors and diseases. (PsycINFO Database Record (c) 2016 APA, all rights reserved)</t>
  </si>
  <si>
    <t>http://search.ebscohost.com.proxy-ub.rug.nl/login.aspx?direct=true&amp;db=psyh&amp;AN=2015-13114-016&amp;site=ehost-live&amp;scope=site</t>
  </si>
  <si>
    <t>The forgotten Asians: Acculturation strategies, acculturative stress, and well being in Indian Asians.</t>
  </si>
  <si>
    <t>Bhaloo, Sahar</t>
  </si>
  <si>
    <t>2012-99100-217</t>
  </si>
  <si>
    <t>Acculturation; Immigration; Well Being; Stress; Adulthood (18 yrs &amp; older)</t>
  </si>
  <si>
    <t>The mental health needs of immigrants are becoming increasingly important as the pangeatic meshing of cultures and blending borders continues. The process of acculturation and the stress involved in adapting to the host culture and preserving homeland traditions can have a significant impact on the lives of immigrants and their children (Berry, 2003). Studies have shown that acculturation style, that is, the manner in which one acculturates, can affect physical and mental health in immigrant populations (Hans, 2001). The substantial increase in the numbers of Indian Asian immigrants to the U.S. has been described as one of the most significant demographic developments in decades (Durvasula &amp; Mylvaganam, 1994). Despite this growing population, few studies have been conducted specifically on the effects of acculturation and acculturative stress in Indian Asian Americans (Saroop, 2003). As the number of Indian Asians seeking psychological services increases so does the need for research on this population (Saroop, 2003. The current study examined acculturative style and its effect on acculturative stress and individual well being in adult Indian Asians living in the United States. A convenience sample of 53 Asian Indians from a church in the Midwest was recruited for this study. The measures used were the Suinn-Lew Asian Self-Identity Scale to assess acculturation strategies, the Acculturation Stress Scale for International Students to assess acculturative stress, and the Satisfaction with Life Scale to assess well-being. The results indicate that 3 acculturation strategy did not have an impact on acculturative stress nor was acculturative stress related to life satisfaction. Limitations of the study included the use of a convenience sample and the small size and homogeneity of the sample. The purpose of the study was to broaden the limited pool of research on this population and in so doing provide empirical support for culturally competent clinical practice and increasing culturally specific mental health policies and resources. Continued research on the impact of acculturation processes on mental health in Indian Asians needs to be conducted with larger more varied samples of Indian Asians. (PsycINFO Database Record (c) 2016 APA, all rights reserved)</t>
  </si>
  <si>
    <t>http://search.ebscohost.com.proxy-ub.rug.nl/login.aspx?direct=true&amp;db=psyh&amp;AN=2012-99100-217&amp;site=ehost-live&amp;scope=site</t>
  </si>
  <si>
    <t>The gender gap in second language acquisition: Gender differences in the acquisition of Dutch among immigrants from 88 countries with 49 mother tongues.</t>
  </si>
  <si>
    <t>van der Slik, Frans W. P.; van Hout, Roeland W. N. M.; Schepens, Job J.</t>
  </si>
  <si>
    <t>2015-51130-001</t>
  </si>
  <si>
    <t>10.1371/journal.pone.0142056</t>
  </si>
  <si>
    <t>Human Sex Differences; Immigration; Language; Tongue; Foreign Language Learning; Mothers; Adulthood (18 yrs &amp; older); Young Adulthood (18-29 yrs); Thirties (30-39 yrs); Middle Age (40-64 yrs); Male; Female</t>
  </si>
  <si>
    <t>Gender differences were analyzed across countries of origin and continents, and across mother tongues and language families, using a large-scale database, containing information on 27,119 adult learners of Dutch as a second language. Female learners consistently outperformed male learners in speaking and writing proficiency in Dutch as a second language. This gender gap remained remarkably robust and constant when other learner characteristics were taken into account, such as education, age of arrival, length of residence and hours studying Dutch. For reading and listening skills in Dutch, no gender gap was found. In addition, we found a general gender by education effect for all four language skills in Dutch for speaking, writing, reading, and listening. Female language learners turned out to profit more from higher educational training than male learners do in adult second language acquisition. These findings do not seem to match nurture-oriented explanatory frameworks based for instance on a human capital approach or gender-specific acculturation processes. Rather, they seem to corroborate a nature-based, gene-environment correlational framework in which language proficiency being a genetically-influenced ability interacting with environmental factors such as motivation, orientation, education, and learner strategies that still mediate between endowment and acquiring language proficiency at an adult stage. (PsycInfo Database Record (c) 2020 APA, all rights reserved)</t>
  </si>
  <si>
    <t>http://search.ebscohost.com.proxy-ub.rug.nl/login.aspx?direct=true&amp;db=psyh&amp;AN=2015-51130-001&amp;site=ehost-live&amp;scope=site</t>
  </si>
  <si>
    <t>The health belief model, sexual behaviors, and HIV risk among Taiwanese immigrants.</t>
  </si>
  <si>
    <t>Lin, Peter; Simoni, Jane M.; Zemon, Vance</t>
  </si>
  <si>
    <t>2005-14055-007</t>
  </si>
  <si>
    <t>10.1521/aeap.2005.17.5.469</t>
  </si>
  <si>
    <t>Acculturation; Demographic Characteristics; Health Attitudes; Psychosexual Behavior; Southeast Asian Cultural Groups; HIV; Immigration; Self-Efficacy; Sexual Risk Taking; Health Belief Model; Adulthood (18 yrs &amp; older); Young Adulthood (18-29 yrs); Thirties (30-39 yrs); Middle Age (40-64 yrs); Male; Female</t>
  </si>
  <si>
    <t>In this first investigation of Taiwanese sexual behaviors in the United States, 144 Taiwanese students completed an online anonymous survey. Demographics, health belief model (HBM) constructs, and acculturation were examined as predictors of sexual behaviors over the last year. Analyses indicated that participants who reported a higher number of sexual partners and more frequent sexual intercourse tended to be more educated and more likely to be nonheterosexual. The HBM constructs, as a set, reliably predicted participants' sexual behaviors. Self-efficacy was the strongest predictor within the HBM. Furthermore, acculturation moderated the predictive power of the HBM with respect to intercourse frequency. The main limitation of the study is that the measure of HBM, which was not designed to target Asian immigrants, was psychometrically poor. The results suggest self-efficacy is a target for behavioral change, acculturation may need to be incorporated into the HBM, and more culturally sensitive measures need to be developed. (PsycINFO Database Record (c) 2019 APA, all rights reserved)</t>
  </si>
  <si>
    <t>http://search.ebscohost.com.proxy-ub.rug.nl/login.aspx?direct=true&amp;db=psyh&amp;AN=2005-14055-007&amp;site=ehost-live&amp;scope=site</t>
  </si>
  <si>
    <t>The health of female Iranian immigrants in Sweden: A qualitative six-year follow-up study.</t>
  </si>
  <si>
    <t>Sharareh, Akhavan; Carina, Bildt; Sarah, Wamala</t>
  </si>
  <si>
    <t>2007-04365-003</t>
  </si>
  <si>
    <t>10.1080/07399330701206240</t>
  </si>
  <si>
    <t>Health; Health Attitudes; Immigration; Adulthood (18 yrs &amp; older); Young Adulthood (18-29 yrs); Thirties (30-39 yrs); Middle Age (40-64 yrs); Female</t>
  </si>
  <si>
    <t>Immigration affects life and health in many different ways. The purpose of this study was to identify and analyze female Iranian immigrants' perception of various factors that influence their health over time. Data collection was based on semistructured interviews with 10 female Iranian immigrants. Baseline interviews were conducted in 1996, with follow-up interviews in 2002. The results suggest that during the first decade after migration, female immigrants may overcome some health-related factors such as experiences of traumatic events. Other health determinants such as unemployment or experiences of discrimination and racism, however, were observed even two decades after migration. (PsycINFO Database Record (c) 2016 APA, all rights reserved)</t>
  </si>
  <si>
    <t>http://search.ebscohost.com.proxy-ub.rug.nl/login.aspx?direct=true&amp;db=psyh&amp;AN=2007-04365-003&amp;site=ehost-live&amp;scope=site</t>
  </si>
  <si>
    <t>The healthy immigrant effect and active commuting.</t>
  </si>
  <si>
    <t>Yu, Jessica; Teschke, Kay</t>
  </si>
  <si>
    <t>Journal of Transport &amp; Health</t>
  </si>
  <si>
    <t>2018-59939-027</t>
  </si>
  <si>
    <t>10.1016/j.jth.2018.05.005</t>
  </si>
  <si>
    <t>Acculturation; Commuting (Travel); Immigration; Transportation; Community Health; Adulthood (18 yrs &amp; older); Young Adulthood (18-29 yrs); Thirties (30-39 yrs); Middle Age (40-64 yrs); Male; Female</t>
  </si>
  <si>
    <t>More than two-thirds of Canadians are not reaching recommended daily levels of physical activity, and commuting on foot or by bike provides a means of integrating activity into daily living. Despite consistent evidence of the association between immigration status and physical activity, the effects of acculturation on active commuting has been understudied. This study examines two hypotheses: foreign-born individuals have increased odds of active commuting compared to Canadian-born individuals—a ‘healthy immigrant effect’; and among the foreign-born, there is an inverse association between time since immigration and time spent active commuting—loss of this effect over time. Data was compiled from more than 59,000 individuals from the 2013–2014 cycle of the Canadian Community Health Survey and probability weighted to account for the survey sampling method. Multinomial logistic regression models were used to examine relationships. Four active commuting categories were examined, from none to commuting times sufficient to meet Canadian physical activity guidelines (≥ 150 minutes per week). After adjusting for age, sex, ethnicity, and personal income, the odds of active commuting versus none were higher for foreign-born individuals compared to Canadian-born individuals for 75 to &lt; 150 minutes per week (OR = 1.41, 95% CI 1.15, 1.73) and ≥ 150 minutes per week (OR = 1.35, 95% CI 1.06, 1.73). Within the immigrant cohort, the odds of meeting Canadian guidelines were greater for recent immigrants than late immigrants (OR = 1.78, 95% CI 1.29, 2.46). These findings show for the first time that recent immigrants have higher levels of active commuting compared with late immigrants in a dose-response pattern. They suggest that there could be missed opportunities to retain active commuters after immigrants arrive in Canada. This is especially important for policymakers as the proportion of foreign-born persons is expected to increase from 25 to 28% of the Canadian population by 2031. (PsycINFO Database Record (c) 2019 APA, all rights reserved)</t>
  </si>
  <si>
    <t>http://search.ebscohost.com.proxy-ub.rug.nl/login.aspx?direct=true&amp;db=psyh&amp;AN=2018-59939-027&amp;site=ehost-live&amp;scope=site</t>
  </si>
  <si>
    <t>The Hispanic Stress Inventory Version 2: Improving the assessment of acculturation stress.</t>
  </si>
  <si>
    <t>Cervantes, Richard C.; Fisher, Dennis G.; Padilla, Amado M.; Napper, Lucy E.</t>
  </si>
  <si>
    <t>2015-40635-001</t>
  </si>
  <si>
    <t>10.1037/pas0000200</t>
  </si>
  <si>
    <t>Immigration; Inventories; Psychological Assessment; Stress; Latinos/Latinas; Family; Race and Ethnic Discrimination; Adulthood (18 yrs &amp; older); Young Adulthood (18-29 yrs); Thirties (30-39 yrs); Middle Age (40-64 yrs); Aged (65 yrs &amp; older); Male; Female</t>
  </si>
  <si>
    <t>This article reports on a 2-phase study to revise the Hispanic Stress Inventory (HSI; Cervantes, Padilla, &amp; Salgado de Snyder, 1991). The necessity for a revised stress-assessment instrument was determined by demographic and political shifts affecting Latin American immigrants and later-generation Hispanics in the United States in the 2 decades since the development of the HSI. The data for the revision of the HSI (termed the HSI2) was collected at 4 sites: Los Angeles, El Paso, Miami, and Boston, and included 941 immigrants and 575 U.S.-born Hispanics and a diverse population of Hispanic subgroups. The immigrant version of the HSI2 includes 10 stress subscales, whereas the U.S.-born version includes 6 stress subscales. Both versions of the HSI2 are shown to possess satisfactory Cronbach’s alpha reliabilities and demonstrate expert-based content validity, as well as concurrent validity when correlated with subscales of the Brief Symptom Inventory (Derogatis, 1993) and the Patient Health Questionnaire-9 (Kroenke, Spitzer, &amp; Williams, 2001). The new HSI2 instruments are recommended for use by clinicians and researchers interested in assessing psychosocial stress among diverse Hispanic populations of various ethnic subgroups, age groups, and geographic location. (PsycInfo Database Record (c) 2020 APA, all rights reserved)</t>
  </si>
  <si>
    <t>http://search.ebscohost.com.proxy-ub.rug.nl/login.aspx?direct=true&amp;db=psyh&amp;AN=2015-40635-001&amp;site=ehost-live&amp;scope=site</t>
  </si>
  <si>
    <t>The Hispanic Stress Inventory—Adolescent Version: A culturally informed psychosocial assessment.</t>
  </si>
  <si>
    <t>Cervantes, Richard C.; Fisher, Dennis G.; Córdova, David Jr.; Napper, Lucy E.</t>
  </si>
  <si>
    <t>2011-21751-001</t>
  </si>
  <si>
    <t>10.1037/a0025280</t>
  </si>
  <si>
    <t>Mental Health; Psychological Assessment; Stress; Test Construction; Latinos/Latinas; Acculturation; Psychosocial Factors; Test Reliability; Test Validity; Psychosocial Assessment; Childhood (birth-12 yrs); School Age (6-12 yrs); Adolescence (13-17 yrs); Adulthood (18 yrs &amp; older); Young Adulthood (18-29 yrs); Male; Female</t>
  </si>
  <si>
    <t>A 2-phase study was conducted to develop a culturally informed measure of psychosocial stress for adolescents: the Hispanic Stress Inventory—Adolescent Version (HSI–A). Phase 1 involved item development through the collection of open-ended focus group interview data (n = 170) from a heterogeneous sample of Hispanic youths residing in the southwest and northeast United States. In Phase 2, we examined the psychometric properties of the HSI–A (n = 1,651), which involved the use of factor analytic procedures to determine the underlying scale structure of the HSI–A for foreign-born and U.S.-born participants in an aggregated analytic approach. An 8-factor solution was established, with factors that include Family Economic Stress, Acculturation-Gap Stress, Culture and Educational Stress, Immigration-Related Stress, Discrimination Stress, Family Immigration Stress, Community and Gang-Related Stress, and Family and Drug-Related Stress. Concurrent, related validity estimates were calculated to determine relations between HSI–A and other measures of child psychopathology and behavioral and emotional disturbances. HSI–A total stress appraisal scores were significantly correlated with both the Children's Depression Inventory and the Youth Self Report (p &lt; .001). Reliability estimates for the HSI–A were conducted, and they yielded high reliability coefficients for most factor subscales, with the HSI–A total stress appraisal score reliability alpha at .92. (PsycINFO Database Record (c) 2019 APA, all rights reserved)</t>
  </si>
  <si>
    <t>http://search.ebscohost.com.proxy-ub.rug.nl/login.aspx?direct=true&amp;db=psyh&amp;AN=2011-21751-001&amp;site=ehost-live&amp;scope=site</t>
  </si>
  <si>
    <t>The impact of a long asylum procedure on quality of life, disability and physical health in Iraqi asylum seekers in the Netherlands.</t>
  </si>
  <si>
    <t>Laban, Cornelis J.; Komproe, Ivan H.; Gernaat, Hajo B. P. E.; de Jong, Joop T. V. M.</t>
  </si>
  <si>
    <t>2008-09235-001</t>
  </si>
  <si>
    <t>10.1007/s00127-008-0333-1</t>
  </si>
  <si>
    <t>Disabilities; Health; Immigration; Quality of Life; Refugees; Male; Female</t>
  </si>
  <si>
    <t>Background: Refugees in western countries often face long juridical procedures before their requests for a resident permit is granted. The, still scanty, literature shows high prevalence rates of psychopathology among asylum seekers, but there has been little interest for other impaired dimensions of health. The present study is part of a community-based mental health survey among Iraqi asylum seekers in the Netherlands, conducted between November 2000 and September 2001, on the risks of a long asylum procedure. Objectives: The objectives of this study were to explore quality of life (QoL), disability and physical health and their relationships with psychopathology and pre- and post-migration variables. Method: Two groups of pre-stratified (length of asylum procedure), randomly selected Iraqi asylum seekers (N = 143 and N = 151), were interviewed with fully structured, culturally validated questionnaires. Quality of life was examined with QoL WHO-Bref, functional disability with the Brief Disability Questionnaire and physical health with a newly developed questionnaire. Psychiatric (DSM IV) disorders were measured with the WHO Composite International Diagnostic Interview 2.1. Multivariate logistic regression analyses were used to estimate the relationships between the outcome measures and socio-demographics, adverse life events in Iraq, post-migration living problems (PMLP) and psychopathology. Results: Respondents with a long asylum procedure reported significantly lower QoL, higher functional disability and more physical complaints. Multivariate regression shows that length of stay is the strongest predictor for a low overall QoL. In addition, lower QoL was predicted by psychopathology, higher age, adverse life events in the Netherlands and the PMLP-clusters: family issues, socio-economic living conditions and socio-religious aspects. Disability was predicted by psychopathology, higher age and the PMLP clusters: family issues and socio-religious aspects. Physical complaints were predicted by length of asylum procedure, psychopathology, female sex, adverse life events in Iraq and PMLP-family issues. Conclusion: A long asylum procedure has a negative impact on the overall health situation and the QoL of asylum seekers. The situation is not only harming the affected, but also interferes with the integration process in the Netherlands or elsewhere. The findings are important for health professionals, governments and human right specialists. (PsycINFO Database Record (c) 2019 APA, all rights reserved)</t>
  </si>
  <si>
    <t>http://search.ebscohost.com.proxy-ub.rug.nl/login.aspx?direct=true&amp;db=psyh&amp;AN=2008-09235-001&amp;site=ehost-live&amp;scope=site</t>
  </si>
  <si>
    <t>The impact of acculturation and racialization on self-rated health status among U.S. Latinos.</t>
  </si>
  <si>
    <t>Vasquez Guzman, Cirila Estela; Sanchez, Gabriel R.</t>
  </si>
  <si>
    <t>2019-03823-017</t>
  </si>
  <si>
    <t>10.1007/s10903-018-0696-7</t>
  </si>
  <si>
    <t>Acculturation; Citizenship; Health Behavior; Immigration; Latinos/Latinas; Adulthood (18 yrs &amp; older); Young Adulthood (18-29 yrs); Thirties (30-39 yrs); Middle Age (40-64 yrs); Aged (65 yrs &amp; older); Male; Female</t>
  </si>
  <si>
    <t>We investigate the Hispanic paradox by examining the relationship between acculturation and health status of Latinos to understand nuances among this growing heterogeneous population using a 2011 Latino Decisions survey. We find that acculturation remains an important determinant of Latino health; however, this varies based on whether the sample is restricted to immigrants or includes all Latino adults and on the measures of acculturation employed. We find Latino citizens reported better health than non-citizens; however, other acculturation measures, such as language use and time in the U.S. do not have a marked effect. Furthermore, skin color matters only for U.S.-born Latinos. Racialization is therefore important to consider within the context of the Hispanic paradox. Our findings suggest that some of the disadvantages stemming from minority status in the U.S. are more prominent among Latinos who have greater experience with the racial hierarchy of the U.S. and greater acculturation more broadly. (PsycInfo Database Record (c) 2020 APA, all rights reserved)</t>
  </si>
  <si>
    <t>http://search.ebscohost.com.proxy-ub.rug.nl/login.aspx?direct=true&amp;db=psyh&amp;AN=2019-03823-017&amp;site=ehost-live&amp;scope=site</t>
  </si>
  <si>
    <t>The impact of acculturation on depression among older Muslim immigrants in the United States.</t>
  </si>
  <si>
    <t>Abu-Bader, Soleman H.; Tirmazi, M. Taqi; Ross-Sheriff, Fariyal</t>
  </si>
  <si>
    <t>2011-09553-005</t>
  </si>
  <si>
    <t>10.1080/01634372.2011.560928</t>
  </si>
  <si>
    <t>Acculturation; Health Locus of Control; Immigration; Major Depression; Muslims; Internal External Locus of Control; Adulthood (18 yrs &amp; older); Middle Age (40-64 yrs); Aged (65 yrs &amp; older); Very Old (85 yrs &amp; older); Male; Female</t>
  </si>
  <si>
    <t>Using a cross-sectional design, this study utilized a self-administered survey to examine the relationship between acculturation, physical and emotional health, health locus of control (LOC), life events and depression among a convenient sample of 70 immigrant Muslim elderly in United States of America. In addition to demographic variables, 5 standardized measures including the Vancouver Index of Acculturation, Center for Epidemiologic Studies Depression Scale (CESD), Iowa Self-Assessment Inventory, Multidimensional Health Locus of Control Scale, and the Geriatric Scale of Recent Life Events were utilized in this study. The results showed that about 50% of participants reported a score of 16 and above on the CESD scale, indicating a presence of depressive symptoms. In addition, most participants identified with their heritage culture compared to the American culture. The results of multiple regression analysis revealed 4 significant predictors of depression: cognitive status (β = −.34, p &lt; .01), heritage culture (β = .35, p &lt; .01), physical health (β = −.27, p &lt; .05), and internal health locus of control (β = −.25, p &lt; .05). These factors explain about 37% of the total variance in levels depression (R = .61). (PsycInfo Database Record (c) 2020 APA, all rights reserved)</t>
  </si>
  <si>
    <t>http://search.ebscohost.com.proxy-ub.rug.nl/login.aspx?direct=true&amp;db=psyh&amp;AN=2011-09553-005&amp;site=ehost-live&amp;scope=site</t>
  </si>
  <si>
    <t>The impact of acculturation on depressive symptoms: A comparison of older Korean Americans in two areas.</t>
  </si>
  <si>
    <t>Jang, Yuri; Roh, Soonhee; Chiriboga, David A.</t>
  </si>
  <si>
    <t>2014-33158-001</t>
  </si>
  <si>
    <t>10.1037/a0032591</t>
  </si>
  <si>
    <t>Acculturation; Geography; Korean Cultural Groups; Major Depression; Symptoms; Adulthood (18 yrs &amp; older); Middle Age (40-64 yrs); Aged (65 yrs &amp; older); Male; Female</t>
  </si>
  <si>
    <t>This study examined how the impact of acculturation on depressive symptoms varied between two samples of older Korean Americans. One sample was from west central Florida (low Korean density area; n = 672), and the other from the New York City metropolitan area (high Korean density area; n = 420). The average level of acculturation was lower among older Korean Americans in New York, compared to those living in Florida. In the hierarchical regression models with the New York sample, acculturation was initially significant in predicting depressive symptoms; however, its impact was gradually attenuated and eventually became nonsignificant with the sequential entry of control variables. On the other hand, in the Florida sample, the impact of acculturation on depressive symptoms remained significant throughout the models. The results suggest that the level and importance of acculturation may differ by geographic locations and invite further contextual research in immigrant populations. (PsycINFO Database Record (c) 2016 APA, all rights reserved)</t>
  </si>
  <si>
    <t>http://search.ebscohost.com.proxy-ub.rug.nl/login.aspx?direct=true&amp;db=psyh&amp;AN=2014-33158-001&amp;site=ehost-live&amp;scope=site</t>
  </si>
  <si>
    <t>The impact of acculturation to the US environment on the dietary share of ultra-processed foods among US adults.</t>
  </si>
  <si>
    <t>Steele, Eurídice Martínez; Khandpur, Neha; Sun, Qi; Monteiro, Carlos A.</t>
  </si>
  <si>
    <t>2020-90877-001</t>
  </si>
  <si>
    <t>10.1016/j.ypmed.2020.106261</t>
  </si>
  <si>
    <t>Acculturation; Food; Immigration; Nutrition; Proteins; Adulthood (18 yrs &amp; older); Young Adulthood (18-29 yrs); Thirties (30-39 yrs); Male; Female</t>
  </si>
  <si>
    <t>This study examined the association between measures of acculturation to the US environment including place of birth, and language spoken at home and proportion of life in the US among foreign-born, in relation to the dietary contribution of ultra-processed foods. Ultra-processed foods, as defined by the NOVA food classification system, are formulations of macronutrients (starches, sugars, fats and protein isolates) with little, if any, whole food and often with added flavors, colors, emulsifiers and other cosmetic additives. We studied 14,663 participants from the National Health and Nutrition Examination Survey 2011–2016, aged 20 + years, who completed a 1-day 24-h dietary recall. Food items were classified using NOVA into ultra-processed or non-ultra-processed foods. Linear regression models adjusted for age, sex, family income, education and race/ ethnicity, showed significant associations between general acculturation measures and dietary contribution of ultra-processed foods. Foreign-born adults consumed less ultra-processed foods than US-born adults (45 vs. 58%, p &lt; 0.001). Within foreign-born adults, ultra-processed food consumption increased with English permeation at home from 40% among individuals speaking non-English languages only to 50% among those speaking English only (p for linear trend &lt; 0.001). In addition, ultra-processed food consumption increased from 41% among foreign-born adults who spent less than 30% of their life in the US to 48% among those who lived in the US for more than 50% of their lives (p for linear trend &lt; 0.001). Race/ethnicity emerged as an important effect modifier for the observed associations. (PsycInfo Database Record (c) 2021 APA, all rights reserved)</t>
  </si>
  <si>
    <t>http://search.ebscohost.com.proxy-ub.rug.nl/login.aspx?direct=true&amp;db=psyh&amp;AN=2020-90877-001&amp;site=ehost-live&amp;scope=site</t>
  </si>
  <si>
    <t>The impact of cultural dissonance and acculturation orientations on immigrant students’ academic performance.</t>
  </si>
  <si>
    <t>Martinez-Taboada, Cristina; Mera, María José; Amutio, Alberto; Castañeda, Xochilt; Felt, Emily; Nicolae, Gabriela</t>
  </si>
  <si>
    <t>2018-19571-001</t>
  </si>
  <si>
    <t>Academic Achievement; Acculturation; Cross Cultural Psychology; Racial and Ethnic Differences; Test Construction; Adolescence (13-17 yrs); Adulthood (18 yrs &amp; older); Young Adulthood (18-29 yrs); Male; Female</t>
  </si>
  <si>
    <t>Prior research has documented meaningful differences between school performance of immigrant and native students. Multicultural education has been associated with academic failure of foreign students. The aim of this study was to examine the impact of a set of psychosocial variables on the perceived academic achievement of first generation immigrant adolescents from public secondary schools in Northern Spain. Results showed that 46% of the variability in foreign students’ perceived academic performance was explained by home-school cultural dissonance. We also explored the impact of acculturation orientation to separation, perception of discrimination from teachers, school adjustment, and psychological well-being in academic performance. Any multicultural education context should take into account psychosocial adjustment, given its influence on academic performance of all students. (PsycINFO Database Record (c) 2018 APA, all rights reserved)</t>
  </si>
  <si>
    <t>http://search.ebscohost.com.proxy-ub.rug.nl/login.aspx?direct=true&amp;db=psyh&amp;AN=2018-19571-001&amp;site=ehost-live&amp;scope=site</t>
  </si>
  <si>
    <t>The impact of culture on the MCMI-III scores of African American and Caribbean Blacks.</t>
  </si>
  <si>
    <t>Lloyd, Althea M.</t>
  </si>
  <si>
    <t>2011-99040-336</t>
  </si>
  <si>
    <t>Cross Cultural Differences; Millon Clinical Multiaxial Inventory; Psychometrics; Racial and Ethnic Differences; Sociocultural Factors; Blacks</t>
  </si>
  <si>
    <t>The Millon Clinical Multiaxial Inventory-Third Edition (MCMI-III) currently ranks among the most commonly utilized personality tools. A review of the literature revealed that ethnic minorities tend to score higher on certain scales of the MMPI and MCMI compared to their White counterparts. The literature also indicated that acculturation level can serve as a moderator variable on overall performance on these measures. Most of the studies that examined racial/ethnic differences on the MCMI were conducted using the MCMI-I and MCMI-II. While many MCMI studies have explored racial differences, few studies have examined the impact of cultural factors on MCMI-III performance. To date, there is no empirical data on the impact of culture on the MCMI-III scores of Blacks from different cultural backgrounds. Given the significant increase in the number of Black immigrants to the United States especially from the Caribbean and Africa, Black Americans are becoming an even more diverse group, representing different cultures and nationalities. In the current study, the performance of African Americans (n = 52) and Caribbean Blacks (n = 77) were compared on the Antisocial, Narcissistic, Paranoid, and Delusional Disorder scales of the MCMI-III. Attempts were also made to compare Blacks in the current sample to the MCMI-III’s development sample. Additionally, the impact of cultural variables was examined using the African American Acculturation Scaled-Revised (AAAS-R). Multivariate Analysis of Variance procedure revealed no significant difference in performance between the two groups on the select scales of the MCMI-III (p =.883). Additional analyses revealed significant difference between the two groups on the Compulsive scale: Caribbean Blacks obtained a higher mean (Cohen’s d =.-50. F = 6.663, p = .011). Analyses comparing the Blacks in the current sample to the MCMI-III’s development sample indicated the following: (a) a significant difference between the two groups on the Antisocial, Narcissistic, and Delusional Disorder Scales and (b) no significant difference between the two groups on the Paranoid scale (p = .559). Supplemental analysis revealed moderate association between the Paranoid and Delusional Disorder Scales of the MCMI-III and certain scales of the AAAS-R, implying both a degree of item overlap and similar item content. (PsycINFO Database Record (c) 2016 APA, all rights reserved)</t>
  </si>
  <si>
    <t>http://search.ebscohost.com.proxy-ub.rug.nl/login.aspx?direct=true&amp;db=psyh&amp;AN=2011-99040-336&amp;site=ehost-live&amp;scope=site</t>
  </si>
  <si>
    <t>The impact of diabetes self-management education on glucose management in ethnic armenians with type 2 diabetes.</t>
  </si>
  <si>
    <t>Naccashian, Zarmine</t>
  </si>
  <si>
    <t>2010-99200-215</t>
  </si>
  <si>
    <t>Diabetes; Education; Ethnic Identity; Glucose; Self-Management; Type 2 Diabetes; Adulthood (18 yrs &amp; older); Aged (65 yrs &amp; older)</t>
  </si>
  <si>
    <t>No research has been done on the impact of diabetes self-management education (DSME) classes delivered in native language on improving disease outcome in ethnic Armenians. Nine hours of DSME classes were offered to clients at Daylight Adult Health Day Care Centers in Glendale and Los Angeles over a 6-week period. The attendees of these 2 centers are mostly first generation immigrants of Armenian descent who are age 65 years and older. The classes were offered in Armenian language by a certified diabetes educator of Armenian descent. The impact of DSME on HbA1c (A1c) levels and perception of empowerment in ethnic Armenians was studied. The impact of acculturation, age, gender, and number of years of diabetes was explored. The sample was homogeneous with respect to ethnicity, age group, and health insurance. The subjects were obtained by convenience sampling. The researcher performed a quasi experimental before and after one group design to assess the impact of education on A1c levels and 8-item Diabetes Empowerment Scale (DES) scores. A paired t-test was used to compare the difference in A1c and DES scores. Analysis of variance (ANOVA) was used to test the mediating effect of acculturation on both A1c and DES. Seventy-five participants completed the study. The results of the paired sample t-test indicated that the mean of the post-A1c (M = 6.86, SD = 1.03) was significantly lower than the pre-A1c levels (M = 7.19, SD = 1.25, t(74) = 2.415, p &lt; .05. The mean of the post-DES (M = 4.36, SD = 0.52) was significantly greater than the mean of pre-DES (M = 4.05, SD = 0.55), t(74) = -4.225, p &lt; .05. The findings demonstrated the efficacy of the educational program in improving diabetes self-care management skills. (PsycINFO Database Record (c) 2016 APA, all rights reserved)</t>
  </si>
  <si>
    <t>http://search.ebscohost.com.proxy-ub.rug.nl/login.aspx?direct=true&amp;db=psyh&amp;AN=2010-99200-215&amp;site=ehost-live&amp;scope=site</t>
  </si>
  <si>
    <t>The impact of education, cultural background, and lifestyle on symptoms of the menopausal transition: The Women’s Health at Midlife study.</t>
  </si>
  <si>
    <t>Lerner-Geva, Liat; Boyko, Valentina; Blumstein, Tzvia; Benyamini, Yael</t>
  </si>
  <si>
    <t>2010-09805-009</t>
  </si>
  <si>
    <t>10.1089/jwh.2009.1381</t>
  </si>
  <si>
    <t>Education; Health; Immigration; Menopause; Middle Adulthood; Human Females; Lifestyle; Symptoms; Adulthood (18 yrs &amp; older); Middle Age (40-64 yrs); Female</t>
  </si>
  <si>
    <t>Aims: This study aimed to examine differences in symptom clusters among women in midlife from different cultural origins and to identify sociodemographic, lifestyle, and health characteristics that could account for the differences between the cultural groups in symptom reporting. Methods: Israeli women aged 45–64 were randomly selected according to age and population strata of three groups: long-term Jewish residents (LTR), Jewish immigrants from the former Soviet Union, and Arab women (mostly Israeli-born). Interviews were conducted with 540 LTR, 151 immigrants, and 123 Arab women. The survey instrument included the occurrence and rating of how bothersome to everyday function were 16 symptoms. Three outcome variables included hot flashes and two scales for mental and somatic symptoms extracted from exploratory factor analysis. Results: Multivariate logistic regressions showed that immigrants and Arab women (compared to LTR) had a significantly lower risk of reporting hot flashes and mental and somatic symptoms. Menopausal status was related only to hot flashes. Low education and depression were associated with the three symptom scales, whereas nonhealthy lifestyle was related only to somatic symptoms. Conclusions: Our main finding is that cultural group is an independent predictor of each of the three menopausal symptom scales. A possible explanation for the lower reporting of symptoms among Arab and immigrant groups is that they differ from the LTR in level of acculturation and attitudes toward menopause. These findings support the proposition of a cultural factor in menopausal symptomatology that needs to be addressed by clinicians caring for women at midlife. (PsycInfo Database Record (c) 2020 APA, all rights reserved)</t>
  </si>
  <si>
    <t>http://search.ebscohost.com.proxy-ub.rug.nl/login.aspx?direct=true&amp;db=psyh&amp;AN=2010-09805-009&amp;site=ehost-live&amp;scope=site</t>
  </si>
  <si>
    <t>The impact of functional health literacy and acculturation on the oral health status of Somali refugees living in Massachusetts.</t>
  </si>
  <si>
    <t>Geltman, Paul L.; Adams, Jo Hunter; Cochran, Jennifer; Doros, Gheorghe; Rybin, Denis; Henshaw, Michelle; Barnes, Linda L.; Paasche-Orlow, Michael</t>
  </si>
  <si>
    <t>2013-25120-033</t>
  </si>
  <si>
    <t>10.2105/AJPH.2012.300885</t>
  </si>
  <si>
    <t>Acculturation; Health Knowledge; Refugees; Oral Health; Health Literacy; Dentistry; Adulthood (18 yrs &amp; older); Young Adulthood (18-29 yrs); Thirties (30-39 yrs); Middle Age (40-64 yrs); Male; Female</t>
  </si>
  <si>
    <t>Objectives: We assessed the impact of health literacy and acculturation on oral health status of Somali refugees in Massachusetts. Methods: Between December 2009 and June 2011, we surveyed 439 adult Somalis who had lived in the United States 10 years or less. Assessments included oral examinations with decayed, missing, and filled teeth (DMFT) counts and measurement of spoken English and health literacy. We tested associations with generalized linear regression models. Results: Participants had means of 1.4 decayed, 2.8 missing, and 1.3 filled teeth. Among participants who had been in the United States 0 to 4 years, lower health literacy scores correlated with lower DMFT (rate ratio [RR] = 0.78; P = .016). Among participants who had been in the country 5 to 10 years, lower literacy scores correlated with higher DMFT (RR = 1.37; P = .012). Literacy was not significantly associated with decayed teeth. Lower literacy scores correlated marginally with lower risk of periodontal disease (odds ratio = 0.22; P = .047). Conclusions: Worsening oral health of Somali refugees over time may be linked to less access to preventive care and less utilization of beneficial oral hygiene practices. (PsycINFO Database Record (c) 2016 APA, all rights reserved)</t>
  </si>
  <si>
    <t>http://search.ebscohost.com.proxy-ub.rug.nl/login.aspx?direct=true&amp;db=psyh&amp;AN=2013-25120-033&amp;site=ehost-live&amp;scope=site</t>
  </si>
  <si>
    <t>The impact of immigration on the breastfeeding practices of mainland Chinese immigrants in Hong Kong.</t>
  </si>
  <si>
    <t>Lok, Kris Yuet Wan; Bai, Dorothy Li; Chan, Noel P. T.; Wong, Janet Y. H.; Tarrant, Marie</t>
  </si>
  <si>
    <t>Birth: Issues in Perinatal Care</t>
  </si>
  <si>
    <t>2017-44164-001</t>
  </si>
  <si>
    <t>10.1111/birt.12314</t>
  </si>
  <si>
    <t>Breast Feeding; Immigration; Mothers; Acculturation; Childhood (birth-12 yrs); Infancy (2-23 mo); Adulthood (18 yrs &amp; older); Young Adulthood (18-29 yrs); Thirties (30-39 yrs); Female</t>
  </si>
  <si>
    <t>Background: Researchers have found breastfeeding disparities between immigrant and native-born women in many countries. However, most studies on immigration and breastfeeding practices have been in Western countries. The aim of this study was to examine the effect of length of time since immigration on the breastfeeding practices of Mainland Chinese immigrants living in Hong Kong. Methods: We recruited 2704 mother-infant pairs from the postnatal wards of four public hospitals in Hong Kong. We examined the effect of migration status on the duration of any and exclusive breastfeeding. Results: Breastfeeding duration was progressively shorter as the time since immigration increased. When compared with mothers who had lived in Hong Kong for &lt; 5 years, Hong Kong-born participants had a 30% higher risk of stopping any breastfeeding (hazard ratio [HR] 1.34 [95% confidence interval {CI} 1.10-1.63]) and exclusive breastfeeding (HR 1.33 [95% CI 1.11-1.58]). In both Hong Kong-born and immigrant participants, breastfeeding cessation was associated with return to work postpartum and the husband’s preference for infant formula or mixed feeding. Intention to exclusively breastfeed and to breastfeed for &gt; 6 months, and previous breastfeeding experience substantially reduced the risk of breastfeeding cessation for both Hong Kong-born and immigrant participants. Conclusions: Health care professionals should consider immigration history in their assessment of pregnant women and provide culturally adapted breastfeeding support and encouragement to this population. (PsycINFO Database Record (c) 2019 APA, all rights reserved)</t>
  </si>
  <si>
    <t>http://search.ebscohost.com.proxy-ub.rug.nl/login.aspx?direct=true&amp;db=psyh&amp;AN=2017-44164-001&amp;site=ehost-live&amp;scope=site</t>
  </si>
  <si>
    <t>The impact of media reliance on the role of perceived threat in predicting tolerance of Muslim cultural practice.</t>
  </si>
  <si>
    <t>White, Campbell; Duck, Julie M.; Newcombe, Peter A.</t>
  </si>
  <si>
    <t>2012-34448-009</t>
  </si>
  <si>
    <t>10.1111/j.1559-1816.2012.00973.x</t>
  </si>
  <si>
    <t>Cultural Sensitivity; Mass Media; Muslims; Threat; Tolerance; Acculturation; Adult Attitudes; Preferences; Whites; Multiculturalism; Adulthood (18 yrs &amp; older); Male; Female</t>
  </si>
  <si>
    <t>Two studies explored the role of perceived threat in predicting White Australians' acculturation preferences for Muslim immigrants, with particular focus on the impact of their reliance on the mass media. In Study 1, students completed a survey that indicated that their tolerance of Muslim practice was largely explained by their general attitudes to multiculturalism. However, among those who were highly reliant on the media, symbolic threat from Muslims played an additional role, with those who perceived more threat being less tolerant. Study 2 further explored these findings in a second survey that included other measures of threat that comprise the integrated threat theory. While intergroup anxiety was the form of threat with the strongest main effect on tolerance, the impact of symbolic threat was again moderated by reliance on the mass media. The implications for understanding the role of media in facilitating interethnic disharmony were discussed. (PsycINFO Database Record (c) 2016 APA, all rights reserved)</t>
  </si>
  <si>
    <t>http://search.ebscohost.com.proxy-ub.rug.nl/login.aspx?direct=true&amp;db=psyh&amp;AN=2012-34448-009&amp;site=ehost-live&amp;scope=site</t>
  </si>
  <si>
    <t>The impact of object relations and acculturative stress on the subjective well-being of Mexican immigrants.</t>
  </si>
  <si>
    <t>Lezama, Lucia</t>
  </si>
  <si>
    <t>2016-21250-038</t>
  </si>
  <si>
    <t>Acculturation; Immigration; Stress; Well Being; Factor Analysis; Adulthood (18 yrs &amp; older); Male; Female</t>
  </si>
  <si>
    <t>Research suggests that immigrants experience stress related to acculturation (e.g., Hovey, 2000), however, little is known of the personality factors that impact subjective well-being of Mexican immigrants, the fastest growing minority in the New York City area. This two-phase study examined the relation between object relations and subjective well-being in this population. Phase I tested the psychometric properties of a Spanish version of the Bell Object Relations and Reality Testing Inventory (BORRTI-SV), translated for use in this study. Male and female participants (N = 139) were recruited via email and data were collected online. The results of exploratory factor analysis yielded a four-factor structure, with two factors demonstrating good internal consistency: Egocentrico--Dependiente (Egocentric--Dependent) and the Desconfianza (Mistrust) scale. Phase II of the study hypothesized that (a) immature object relations would predict lower levels of subjective well-being, (b), higher acculturative stress would negatively impact subjective well-being, and (c) high biculturalism and socioeconomic status would contribute to better subjective well-being. Both male and female participants ( N = 75) were recruited at three community-based social service programs. The results of hierarchical regression analyses suggested that individuals who experienced high levels of acculturative stress, were also less satisfied with their lives. This type of stress appeared to override other factors frequently associated with subjective well-being in this sample. Study results, limitations, and future directions are discussed. (PsycINFO Database Record (c) 2016 APA, all rights reserved)</t>
  </si>
  <si>
    <t>http://search.ebscohost.com.proxy-ub.rug.nl/login.aspx?direct=true&amp;db=psyh&amp;AN=2016-21250-038&amp;site=ehost-live&amp;scope=site</t>
  </si>
  <si>
    <t>The influence of acculturation and attitudes toward interracial marriage.</t>
  </si>
  <si>
    <t>Moran, Michelle D.</t>
  </si>
  <si>
    <t>2015-99040-403</t>
  </si>
  <si>
    <t>Acculturation; Interracial Marriage; Latinos/Latinas; Spouses</t>
  </si>
  <si>
    <t>Interracial marriages have increased in the past few decades with about 15% of all new marriages being between spouses of a different race or ethnicity from one another (Wang, 2012). Among all newlyweds in the United States (U.S.) in 2010, 26% of Hispanics married out (Wang, 2012). Existing literature on society's attitudes towards assimilation and interracial marriage have changed since Latinos began immigrating to the U.S., resulting in positive changes in attitudes and an increase in interracial marriages (George &amp; Yancey, 2003; Lee &amp; Edmonston, 2005; Lee, 2008). There is a small amount of research that specifically focuses on attitudes toward interracial marriage among Latinos, and how acculturation may influence attitudes. The limited amount of research involving the Latino population does not specify the subgroups, or mostly focus on Mexican Americans, which is why this study examined attitudes among South Americans, the new wave of immigrants who have been understudied. The present study focused on providing an understanding on the influence of acculturation on attitudes toward interracial marriage among individuals who identified as Colombian, Ecuadorian, and Peruvian, due to having the highest rate of immigration to the United States (U.S. Census, 2010) among South American countries. Educational level, age, and generational status were also examined to determine their effects on attitudes. The final sample included 130 participants who voluntarily responded to anonymous online questionnaires. All participants completed a Demographic Questionnaire, the Short Acculturation Scale for Hispanics (SASH), and the Attitudes toward Interracial Dating Scale (ATIDS), and three-open ended narrative questions. Quantitative Results from this study showed that there was a significant interaction between generational status and attitudes toward interracial marriage. Education level and age were not correlated with attitudes toward interracial marriage, and the SASH and ATIDS were weakly correlated. Qualitative results displayed that majority of participants held positive attitudes toward interracial marriage. Participant responses revealed overarching themes of: love; values and beliefs; family; personal experience; exposure; and culture and identity, as contributors to attitudes toward interracial marriage. The overall results in this study, displayed support of interracial marriage among the South American population, specifically from Colombia, Ecuador, and Peru. (PsycINFO Database Record (c) 2016 APA, all rights reserved)</t>
  </si>
  <si>
    <t>http://search.ebscohost.com.proxy-ub.rug.nl/login.aspx?direct=true&amp;db=psyh&amp;AN=2015-99040-403&amp;site=ehost-live&amp;scope=site</t>
  </si>
  <si>
    <t>The influence of acculturation and breast cancer-specific distress on perceived barriers to genetic testing for breast cancer among women of African descent.</t>
  </si>
  <si>
    <t>Sussner, Katarina M.; Thompson, Hayley S.; Jandorf, Lina; Edwards, Tiffany A.; Forman, Andrea; Brown, Karen; Kapil-Pair, Nidhi; Bovbjerg, Dana H.; Schwartz, Marc D.; Valdimarsdottir, Heiddis B.</t>
  </si>
  <si>
    <t>Psycho-Oncology</t>
  </si>
  <si>
    <t>2009-16561-005</t>
  </si>
  <si>
    <t>10.1002/pon.v18:910.1002/pon.1492</t>
  </si>
  <si>
    <t>Acculturation; African Cultural Groups; Breast Neoplasms; Distress; Genetic Testing; Human Females; Racial and Ethnic Differences; Whites; Adulthood (18 yrs &amp; older); Female</t>
  </si>
  <si>
    <t>Objective: Rising health disparities are increasingly evident in relation to use of genetic services (including genetic counseling and testing) for breast cancer risk, with women of African descent less likely to use genetic services compared with Whites. Meanwhile, little is known regarding potential within-group acculturation and psychological differences underlying perceived barriers to genetic testing among women of African descent. Methods: Hypothesized contributions of acculturation factors and breast cancer-specific distress to perceived barriers to genetic testing were examined with a statistical analysis of baseline data from 146 women of African descent (56% US born and 44% foreign born) meeting genetic breast cancer risk criteria and participating in a larger longitudinal study that included the opportunity for free genetic counseling and testing. Perceived barriers assessed included: (1) anticipation of negative emotional reactions, (2) stigma, (3) confidentiality concerns, (4) family-related worry, and (5) family-related guilt associated with genetic testing. Results: In multivariate analyses, being foreign born was a significant predictor of anticipated negative emotional reactions about genetic testing (β = 0.26; SE = 0.11; p = 0.01). Breast cancer-specific distress scores (avoidance symptoms) were positively related to anticipated negative emotional reactions (β = 0.02; SE = 0.005; p = &lt;0.0001), confidentiality concerns (β = 0.02; SE = 0.01; p = 0.02), and family-related guilt (β = 0.02; SE = 0.01; p = 0.0009) associated with genetic testing. Conclusions: Results suggest an influence of acculturation and breast cancer-specific distress on perceived barriers to genetic testing among women of African descent. The potential utility of culturally tailored genetic counseling services taking into account such influences and addressing emotional and psychological concerns of women considering genetic testing for breast cancer should be investigated. (PsycINFO Database Record (c) 2016 APA, all rights reserved)</t>
  </si>
  <si>
    <t>http://search.ebscohost.com.proxy-ub.rug.nl/login.aspx?direct=true&amp;db=psyh&amp;AN=2009-16561-005&amp;site=ehost-live&amp;scope=site</t>
  </si>
  <si>
    <t>The influence of adult attachment styles on urban residents' attitudes toward acculturation strategies of rural-to-urban migrants in China.</t>
  </si>
  <si>
    <t>Yang, Huadong; Tian, Lili; van Oudenhoven, Jan Pieter</t>
  </si>
  <si>
    <t>2010-11824-010</t>
  </si>
  <si>
    <t>Acculturation; Attachment Behavior; Attitudes; Human Migration; Urban Environments; Rural Environments; Adulthood (18 yrs &amp; older); Young Adulthood (18-29 yrs); Thirties (30-39 yrs); Middle Age (40-64 yrs); Male; Female</t>
  </si>
  <si>
    <t>As one of the unintended consequences of Chinese economic development, large-scale migrations have occurred in China over the last 20 years. By 2005, about 120 million Chinese rural villagers had migrated to work and reside in cities. Huge migration waves like these have triggered many social problems. Researchers from different disciplines of social sciences have therefore started to investigate the migrant issue. In this chapter, we focus on urban residents, and take a personality-psychological perspective to examine the impact of individual adult attachment styles on their attitudes toward the adaptation strategies adopted by the migrants. A sample of 457 Chinese urban residents from four cities was recruited for this study. Four types of adult attachment styles (preoccupied, fearful, secure, and dismissing) were measured by an Attachment Style Questionnaire (ASQ) (Hofstra etal., 2005). We described the acculturation strategies (integration, assimilation, separation, and marginalization) by using vignettes. The results show that a secure style stimulates a positive attitude toward the integration strategy; a preoccupied style tends to have a positive impact on the attitude toward the assimilation strategy; a dismissing or a fearful style significantly predicts the attitude toward the separation strategy; and a dismissing style is a good predictor for the attitude toward the marginalization strategy. Those findings to a large extent confirm our hypotheses and are consistent with previous findings. Theoretical and practical implications of these results are further discussed. (PsycINFO Database Record (c) 2017 APA, all rights reserved)</t>
  </si>
  <si>
    <t>http://search.ebscohost.com.proxy-ub.rug.nl/login.aspx?direct=true&amp;db=psyh&amp;AN=2010-11824-010&amp;site=ehost-live&amp;scope=site</t>
  </si>
  <si>
    <t>The influence of age at migration and length of residence on self-rated health among Swedish immigrants: A cross-sectional study.</t>
  </si>
  <si>
    <t>Leão, Teresa Saraiva; Sundquist, Jan; Johansson, Sven-Erik; Sundquist, Kristina</t>
  </si>
  <si>
    <t>2009-00949-004</t>
  </si>
  <si>
    <t>10.1080/13557850802345973</t>
  </si>
  <si>
    <t>Acculturation; Age Differences; Health; Immigration; Adolescence (13-17 yrs); Adulthood (18 yrs &amp; older); Young Adulthood (18-29 yrs); Thirties (30-39 yrs); Male; Female</t>
  </si>
  <si>
    <t>Objective: Increasing global migration has led to profound demographic changes in most industrialized countries. A growing body of research has investigated various health aspects among immigrant groups and found that some immigrant groups have poorer health than the majority population. It has been suggested that poor acculturation in the host country could lie behind the increased risk of worsened health among certain immigrant groups. The aim was to investigate the cross-sectional association between acculturation, measured as age at migration or length of residence, and self-rated health among young immigrants. Design: The simple, random samples of 7137 women and 7415 men aged 16-34 years were based on pooled, independent data collected during the period 1992-1999 obtained from the Swedish Annual Level of Living Survey (SALLS). Logistic regression was applied in the estimation of odds ratios (OR) for poor self-rated health, after accounting for age, sex, socioeconomic status (SES) and social networks. The non-response rate varied between 23.6 and 28.3% in the different immigrant groups. Results: The odds of poor self-rated health increased with increasing age at migration to Sweden among first-generation immigrants. For those who had resided in Sweden less than 15 years the odds of poor self-rated health were significantly increased. In addition, most of the immigrant groups had higher odds of poor self-rated health than the reference group. Conclusions: Health care workers and policy makers need to be aware that immigrants who arrive in the host country at higher ages and/or have lived in the host country for a shorter period of time might need special attention as they are more likely to suffer from poor self-rated health, a valid health status indicator that can be used in population health monitoring. (PsycINFO Database Record (c) 2016 APA, all rights reserved)</t>
  </si>
  <si>
    <t>http://search.ebscohost.com.proxy-ub.rug.nl/login.aspx?direct=true&amp;db=psyh&amp;AN=2009-00949-004&amp;site=ehost-live&amp;scope=site</t>
  </si>
  <si>
    <t>The influence of Americanization on savings behavior and practices among Saudi Arabian families immigrants in the United States.</t>
  </si>
  <si>
    <t>Alkhiary, Adnan Mohammed</t>
  </si>
  <si>
    <t>2016-17129-107</t>
  </si>
  <si>
    <t>Behavior Analysis; Finance; Immigration; Money; Adulthood (18 yrs &amp; older)</t>
  </si>
  <si>
    <t>This investigation sought to examine the role of acculturation and generational theory and influenced social and cultural practices among Saudi Arabian students who were currently residing in the United States. Theoretically, it sought to answers questions that help determine how Americanization---the adaptation and acculturation of a visiting culture to absorb and incorporate the host culture into their lives, customs, and social practices, and in this case savings behavior. A comprehensive model was developed to test the idea that living in America can and does have an influence on social and cultural practices. What was of interest in this study was whether or not these same influences could have an impact on particular cultural practices, in this case how people felt about, reacted to, and addressed the concept of savings--the stockpiling of funds for future needs. Information was gathered from a sample of over 500 Saudi Arabian students living in the United States. The model as structured was tested using SEM analytic techniques in an effort to fully explore and expose the nuanced and subtle differences among the respondents. The concept of savings behavior being influenced by Americanization as originally discussed was not substantiated by the model even though some of the indicators were within expected parameters (chi2 = 217.241, p &lt; .001; CFI = 0.839, TLI = 0.732, RMSEA = 0.034). Despite the general problems the overall model revealed that at least 17% of what was termed as savings behavior could be explained by the model. The study still retained its value because it has made inroads into an area that has not yet been explored. Future investigations should take care to find better ways to incorporate some of the cultural elements of savings behavior directly into the instrument based on the perspective of their test populations rather than assume value in and use instruments tested and normed with US samples. (PsycINFO Database Record (c) 2016 APA, all rights reserved)</t>
  </si>
  <si>
    <t>http://search.ebscohost.com.proxy-ub.rug.nl/login.aspx?direct=true&amp;db=psyh&amp;AN=2016-17129-107&amp;site=ehost-live&amp;scope=site</t>
  </si>
  <si>
    <t>The influence of culture of honor and emotional intelligence in the acculturation of Moroccan immigrant women.</t>
  </si>
  <si>
    <t>Lopez-Zafra, Esther; El Ghoudani, Karima</t>
  </si>
  <si>
    <t>2014-40830-001</t>
  </si>
  <si>
    <t>10.1017/sjp.2014.53</t>
  </si>
  <si>
    <t>Acculturation; Emotional Intelligence; Human Females; Immigration; Society; Adolescence (13-17 yrs); Adulthood (18 yrs &amp; older); Young Adulthood (18-29 yrs); Thirties (30-39 yrs); Middle Age (40-64 yrs); Aged (65 yrs &amp; older); Female</t>
  </si>
  <si>
    <t>Migration is a normal process of people seeking new opportunities, work, or leisure in societies. The way people adapt to a new country (acculturation) is a complex process in which immigrants’ evaluations about the culture of origin and their perceptions of the host country interact. The combination of these two factors produces four types of acculturation: separation, assimilation, integration, and marginalization. Several variables, such as personality, attitudes, and emotional intelligence, have been studied to help explain this process. However, the impact of a culture of honor and its interaction with other variables remains an open question that may help to explain how migrants can better adjust to their host culture. In this study, we examine the influence of the culture of honor (social) and emotional intelligence (individual) on acculturation. In a sample of 129 Moroccan women (mean age = 29, SD = 9.40) immigrants in Spain (mean time in Spain = 6 years, SD = 3.60), we investigated the relations among the variables of interest. Our results show that no significant differences emerged in the scores given for culture of honor (CH) and the acculturation strategies of the Moroccan immigrant women F(3, 99) = .233; p = .87. However women who preferred the integration strategy scored highest on emotional intelligence (EI), whereas the assimilated immigrants showed the lowest scores for EI F(3, 92) = 4.63; p = .005. Additionally, only in the case of integration does EI mediate between CH and the value given to the immigrant’s own and host cultures (p &lt;.001). (PsycInfo Database Record (c) 2020 APA, all rights reserved)</t>
  </si>
  <si>
    <t>http://search.ebscohost.com.proxy-ub.rug.nl/login.aspx?direct=true&amp;db=psyh&amp;AN=2014-40830-001&amp;site=ehost-live&amp;scope=site</t>
  </si>
  <si>
    <t>The influence of ethnic group variation on victimization and help seeking among Latino women.</t>
  </si>
  <si>
    <t>2014-32898-001</t>
  </si>
  <si>
    <t>10.1037/a0036526</t>
  </si>
  <si>
    <t>Cross Cultural Differences; Help Seeking Behavior; Human Females; Victimization; Latinos/Latinas; Mexican Americans; Sex Offenses; Violence; Adulthood (18 yrs &amp; older); Female</t>
  </si>
  <si>
    <t>Interpersonal violence research on Latinos has largely ignored the ethnic group variations that are included under the pan-ethnic term Latino. The current study adds to the literature by utilizing a national sample of Latino women to examine the interpersonal victimization experiences and help-seeking responses to victimization by ethnic group. The sample was drawn from the Sexual Assault Among Latinas Study (SALAS; Cuevas &amp; Sabina, 2010) that surveyed 2,000 self-identified adult Latino women. For the purpose of this study, victimization in the United States was examined among Mexican ethnics (73.3% of sample), Cuban ethnics (14%), and other ethnics (12.8%). Mexican ethnicity was found to be significantly associated with increased odds of experiencing any, physical, sexual, threat, and stalking victimization. Findings also show that higher levels of Latino orientation and being an immigrant were associated with decreased odds of experiencing any victimization, whereas Anglo orientation, as measured by the Brief ARSMA-II (Cuéllar, Arnold, &amp; Maldonado, 1995), was associated with greater odds of experiencing any victimization. Anglo orientation was significantly associated with formal help seeking. Taken as a whole, these findings emphasize the importance of bilingual and culturally competent services and also reveal that culturally competent services includes developing an understanding of the cultural differences between Latino ethnic groups. Specifically, service providers should be aware that Latinos of Mexican ethnicity may face unique risks for victimization. (PsycINFO Database Record (c) 2016 APA, all rights reserved)</t>
  </si>
  <si>
    <t>http://search.ebscohost.com.proxy-ub.rug.nl/login.aspx?direct=true&amp;db=psyh&amp;AN=2014-32898-001&amp;site=ehost-live&amp;scope=site</t>
  </si>
  <si>
    <t>The influence of family climate on stress and adaptation for Muslim immigrant young adults in two Western countries.</t>
  </si>
  <si>
    <t>Stuart, Jaimee; Ward, Colleen; Robinson, Lena</t>
  </si>
  <si>
    <t>International Perspectives in Psychology: Research, Practice, Consultation</t>
  </si>
  <si>
    <t>2015-58124-001</t>
  </si>
  <si>
    <t>10.1037/ipp0000043</t>
  </si>
  <si>
    <t>Acculturation; Family Relations; Immigration; Muslims; Emerging Adulthood; Adaptation; Stress; Adolescence (13-17 yrs); Adulthood (18 yrs &amp; older); Young Adulthood (18-29 yrs); Male; Female</t>
  </si>
  <si>
    <t>The research examined the influence of family climate on acculturative stress and adaptation for Muslim emerging adults in New Zealand (n = 155) and the United Kingdom (n = 147). A path model was proposed with family climate (congruence and obligations) as predictors of acculturative stress and having both direct and indirect (via stress) effects on life satisfaction and behavioral problems. The model was tested in order to determine if paths varied significantly as a function of national context. Although New Zealand Muslims had better adaptation outcomes and lower levels of stress than their British peers, there were very few differences in the family climate-stress-adaptation pathways. Acculturative stress predicted decrements in life satisfaction and greater behavioral problems, and obligations predicted fewer behavioral problems in both cultural contexts. Also, in both countries, the structural pathways in the model were not significantly different across cultures with the exception of the positive relationship between obligations and life satisfaction, which was only evident in the New Zealand sample. For Muslim emerging adults, family obligations functioned as a protective factor, exerting direct effects on adaptation (increased life satisfaction and decreased behavioral problems), although they also posed risks, predicting poorer adaptation via heightened acculturative stress. The results are discussed in terms of the positive and negative influences of family in the acculturation process for emerging adults. (PsycInfo Database Record (c) 2020 APA, all rights reserved)</t>
  </si>
  <si>
    <t>http://search.ebscohost.com.proxy-ub.rug.nl/login.aspx?direct=true&amp;db=psyh&amp;AN=2015-58124-001&amp;site=ehost-live&amp;scope=site</t>
  </si>
  <si>
    <t>The influence of immigrant status and acculturation on the development of overweight in Latino families: A qualitative study.</t>
  </si>
  <si>
    <t>Sussner, Katarina M.; Lindsay, Ana C.; Greaney, Mary L.; Peterson, Karen E.</t>
  </si>
  <si>
    <t>2008-15221-003</t>
  </si>
  <si>
    <t>10.1007/s10903-008-9137-3</t>
  </si>
  <si>
    <t>Acculturation; Family; Immigration; Overweight; Latinos/Latinas; Adulthood (18 yrs &amp; older); Young Adulthood (18-29 yrs); Thirties (30-39 yrs); Middle Age (40-64 yrs); Female</t>
  </si>
  <si>
    <t>Exposure to obesogenic environments in the U.S. may foster development of overweight in immigrants with greater acculturation. Few studies document mechanisms of the acculturation process from immigrants’ own perspectives or describe implications on the children of immigrants. Focus groups and in-depth interviews were conducted with immigrant Latina mothers (N = 51) examining mothers’ beliefs, attitudes and practices related to early child feeding and weight. Focus group participants completing the Marin Acculturation Scale more closely identified with Latino culture, although the mean score (2.04, SD = 0.59) was close to 'bicultural'. Analysis revealed seven themes when mothers compared lifestyles between their native countries and the U.S., related to changes in (1) diet, perceived food quality and availability, (2) food and eating practices, (3) breastfeeding practices, (4) beliefs about food, child feeding and weight status, (5) weight status of mothers and children, (6) physical activity and sedentary lifestyles, and (7) social isolation and support. (PsycINFO Database Record (c) 2016 APA, all rights reserved)</t>
  </si>
  <si>
    <t>http://search.ebscohost.com.proxy-ub.rug.nl/login.aspx?direct=true&amp;db=psyh&amp;AN=2008-15221-003&amp;site=ehost-live&amp;scope=site</t>
  </si>
  <si>
    <t>The influence of length of stay, linguistic competence, and media exposure in immigrants' adaptation.</t>
  </si>
  <si>
    <t>Miglietta, Anna; Tartaglia, Stefano</t>
  </si>
  <si>
    <t>2009-01197-003</t>
  </si>
  <si>
    <t>10.1177/1069397108326289</t>
  </si>
  <si>
    <t>Competence; Cultural Sensitivity; Culture Change; Immigration; Mass Media; Linguistics; Adulthood (18 yrs &amp; older); Male; Female</t>
  </si>
  <si>
    <t>Empirical evidence shows that immigrants adapt best in relation to their ability to negotiate between the cultural entities they confront. Factors such as cultural knowledge, length of stay in the new culture, and linguistic competence strongly influence this process. Length of stay and linguistic competence may be essential for cultural knowledge acquisition that, in turn, may be enhanced by mass media consumption. A questionnaire is completed by 576 immigrants (196 Romanians, 179 North Africans, and 201 Latino Americans) investigating time spent in Italy, proficiency in the Italian language, familiarity with Italian and homeland mass media, and acculturation. The authors hypothesize that language plays a central role in the acculturation process and assume that length of stay influences acculturation mostly through linguistic competence and mass media knowledge. A structural equation model is tested to verify the hypothesis. The model results are acceptable, invariant across genders, and partially invariant across ethno-cultural groups. (PsycINFO Database Record (c) 2016 APA, all rights reserved)</t>
  </si>
  <si>
    <t>http://search.ebscohost.com.proxy-ub.rug.nl/login.aspx?direct=true&amp;db=psyh&amp;AN=2009-01197-003&amp;site=ehost-live&amp;scope=site</t>
  </si>
  <si>
    <t>The influence of perceived risk to health and immigration-related characteristics on substance use among Latino and other immigrants.</t>
  </si>
  <si>
    <t>Ojeda, Victoria D.; Patterson, Thomas L.; Strathdee, Steffanie A.</t>
  </si>
  <si>
    <t>2008-05571-005</t>
  </si>
  <si>
    <t>10.2105/AJPH.2006.108142</t>
  </si>
  <si>
    <t>Health; Immigration; Risk Perception; Whites; Latinos/Latinas; Acculturation; Drug Abuse; Tobacco Smoking; Well Being; Adulthood (18 yrs &amp; older); Young Adulthood (18-29 yrs); Thirties (30-39 yrs); Middle Age (40-64 yrs); Male; Female</t>
  </si>
  <si>
    <t>Objectives: We examined whether immigration-related characteristics and perceptions of risk surrounding substance use were independently associated with lifetime use of cigarettes and various illicit substances among immigrant and native-born Latino and non-Latino White adults in the United States. Methods: Data were from the 2002 National Survey on Drug Use and Health. Analyses were limited to Latinos and non-Latino Whites 18 years and older. We used cross-tabulations and multivariate logistic regression to test relations between risk perceptions, immigration characteristics, and substance use. Results: More than two thirds of all respondents perceived moderate or great risk to health and well-being associated with all substances analyzed. The odds of lifetime substance use by Latino and non-Latino White immigrants were lower than for US-born non-Latino Whites. Immigrant Latinos' odds of lifetime substance use were lower than for US-born Latinos. Moderate or great perceived risk was associated with lower likelihood of lifetime use of all substances except cigarettes. Conclusions: Foreign birth appeared to protect against substance use among both Latino and non-Latino White immigrants. Future studies should examine potential protective factors, including cultural beliefs and practices, acculturation, familial ties, and social network influences. (PsycINFO Database Record (c) 2016 APA, all rights reserved)</t>
  </si>
  <si>
    <t>http://search.ebscohost.com.proxy-ub.rug.nl/login.aspx?direct=true&amp;db=psyh&amp;AN=2008-05571-005&amp;site=ehost-live&amp;scope=site</t>
  </si>
  <si>
    <t>The influence of self-construal on acculturation of Indian and Albanian immigrants in Greece: The implications for psychological health.</t>
  </si>
  <si>
    <t>Kateri, Evangelia; Karademas, Evangelos</t>
  </si>
  <si>
    <t>2010-11457-005</t>
  </si>
  <si>
    <t>Acculturation; Mental Health; Self-Concept; Immigration; Male; Female</t>
  </si>
  <si>
    <t>Even though acculturation is considered to be an important and well documented factor of immigrants' psychological health, few studies have examined the effects of immigrants' cultural values on the choice of acculturation strategy and on psychological health. The aim of the present study is to test the influence of immigrants' self-construal on the choice of acculturation strategy. A second aim is to examine the influence of acculturation on psychological health, as well as to determine the interaction between all these three factors, i.e., self-construal, acculturation and psychological health. In a sample of 120 immigrants, 62 of whom were Indians and 58 Albanians, we found that integration correlates positively with interdependent self-construal and with independent self-construal, whereas separation correlates neither with independent nor with interdependent self-construal. Also, there is a statistically significant difference between the participants with high and low level of independent self-construal, with the difference to being favor of the participants with high level of independent self-construal. As far as the relationship between acculturation and psychological health is concerned, we found that separation correlates negatively with anxiety and with depression, whereas integration correlates neither with depression nor with anxiety. Even though self-construal, in conjunction with separation, is responsible for a significant proportion of depression, the results do not meet the criteria in order to conclude that self-construal is a mediator between separation and depression. (PsycINFO Database Record (c) 2016 APA, all rights reserved)</t>
  </si>
  <si>
    <t>http://search.ebscohost.com.proxy-ub.rug.nl/login.aspx?direct=true&amp;db=psyh&amp;AN=2010-11457-005&amp;site=ehost-live&amp;scope=site</t>
  </si>
  <si>
    <t>The integration of lexical, syntactic, and discourse features in bilingual adolescents' writing: An exploratory approach.</t>
  </si>
  <si>
    <t>Danzak, Robin L.</t>
  </si>
  <si>
    <t>Language, Speech, and Hearing Services in Schools</t>
  </si>
  <si>
    <t>2011-22915-007</t>
  </si>
  <si>
    <t>10.1044/0161-1461(2011/10-0063)</t>
  </si>
  <si>
    <t>American Speech-Language-Hearing Assn</t>
  </si>
  <si>
    <t>Bilingualism; Discourse Analysis; Language; Lexical Access; Childhood (birth-12 yrs); School Age (6-12 yrs); Adolescence (13-17 yrs)</t>
  </si>
  <si>
    <t>Purpose: The purpose of this study was to assess the bilingual writing of adolescent English language learners (ELLs) using quantitative tools. Linguistic measures were applied to the participants’ writing at the lexical, syntactic, and discourse levels, with the goal of comparing outcomes at each of these levels across languages (Spanish/English) and genres (expository/narrative). Method: Twenty Spanish-speaking ELLs, ages 11–14 years, each produced 8 expository and narrative autobiographical texts. Texts were coded and scored for lexical sophistication, syntactic complexity, and overall text quality. Scores were analyzed using Friedman’s 2-way analysis of variance by ranks (Siegel &amp; Castellan, 1988); resulting ranks were compared across languages and genre topics. Results: The text topic impacted rank differences at all levels. Performance at the three levels was similar across languages, indicating that participants were emerging writers in both Spanish and English. The impact of genre was generally inconsequential at all levels. Conclusion: Similar results across languages implied the potential transfer of writing skills. Overall, students appeared to apply a knowledge-telling strategy to writing rather than strategically planning, composing, and revising their writing. Finally, outcomes highlighted the synergistic relationships among linguistic levels in text composition, indicating a need to address the interaction of vocabulary, morphosyntax, and text-level structures in the instruction and assessment of ELL writing. (PsycINFO Database Record (c) 2016 APA, all rights reserved)</t>
  </si>
  <si>
    <t>http://search.ebscohost.com.proxy-ub.rug.nl/login.aspx?direct=true&amp;db=psyh&amp;AN=2011-22915-007&amp;site=ehost-live&amp;scope=site</t>
  </si>
  <si>
    <t>The integrative power of sport myth or reality: The story of two Vietnamese families and their involvement with community Australian rules football.</t>
  </si>
  <si>
    <t>Nash, Melanie; Morrissey, James</t>
  </si>
  <si>
    <t>Current issues and controversies in school and community health, sport and physical education.</t>
  </si>
  <si>
    <t>2013-06420-024</t>
  </si>
  <si>
    <t>Athletic Participation; Communities; Immigration; Social Integration; Sports; Football; Adulthood (18 yrs &amp; older)</t>
  </si>
  <si>
    <t>The idea that sport participation contributes positively to a wide range of social issues has become a popular hypothesis, and is one that has globally gained increasing levels of funding and research interest. Victoria is the most culturally diverse state in Australia (ABS, 2006) and the State Government, in their publication 'All of Us: Victoria's Multicultural Policy' (2009), has endorsed sport as an activity that contributes positively to the migrant settlement process. In this chapter we draw on data from a small-scale qualitative study conducted in Melbourne, Victoria that explored the experience of two Vietnamese families and their involvement with, Australia's most popular community sport, Australian Rules Football, (AF). In the analysis of our data we have used the ideas of cultural field and habitus, as well as other associated conceptual tools offered by Bourdieu (1990) to explore the integrative power of sport with respect to the local AF club. Our results discuss each family's involvement with their local AF club and report on the perceived benefits and barriers encountered in their level of inclusion within the club community. We argue that while the research provides some indication of integration for the families involved in the study, particularly the players, it also exhibited systemic elements of exclusion. We do however consider that there is significant potential for the integration of the Vietnamese community in the context of Australian Football in Melbourne, but it is one that requires increased understanding of and considered responses to the elements of exclusion. (PsycInfo Database Record (c) 2020 APA, all rights reserved)</t>
  </si>
  <si>
    <t>http://search.ebscohost.com.proxy-ub.rug.nl/login.aspx?direct=true&amp;db=psyh&amp;AN=2013-06420-024&amp;site=ehost-live&amp;scope=site</t>
  </si>
  <si>
    <t>The interaction between an individual’s acculturation and community factors on physical inactivity and obesity: A multilevel analysis.</t>
  </si>
  <si>
    <t>Shi, Lu; Zhang, Donglan; van Meijgaard, Jeroen; MacLeod, Kara E.; Fielding, Jonathan E.</t>
  </si>
  <si>
    <t>2015-33918-035</t>
  </si>
  <si>
    <t>10.2105/AJPH.2014.302541</t>
  </si>
  <si>
    <t>Communities; Family; Household Management; Income Level; Acculturation; Obesity; Adulthood (18 yrs &amp; older); Male; Female</t>
  </si>
  <si>
    <t>Objectives: We examined whether the interactions between primarily speaking English at home and community-level measures (median household income and immigrant composition) are associated with physical inactivity and obesity. Methods: We pooled the 2005 and 2007 Los Angeles County Health Survey data to construct a multilevel data set, with community-level median household income and immigrant density as predictors at the community level. After controlling for individual-level demographic variables, we included the respondent’s perceived community safety as a covariate to test the hypothesis that perceived public safety mediates the association between acculturation and health outcomes. Results: The interaction between community median household income and primarily speaking English at home was associated with lower likelihoods of physical inactivity (odds ratio [OR] = 0.644; 95% confidence interval [CI] = 0.502, 0.825) and obesity (OR = 0.674; 95% CI = 0.514, 0.882). These odds remained significant after we controlled for perceived community safety. Conclusions: Resources in higher-income areas may be beneficial only to residents fully integrated into the community. Future research could focus on understanding how linguistic isolation affects community-level social learning and access to resources and whether this differs by family-level acculturation. (PsycINFO Database Record (c) 2016 APA, all rights reserved)</t>
  </si>
  <si>
    <t>http://search.ebscohost.com.proxy-ub.rug.nl/login.aspx?direct=true&amp;db=psyh&amp;AN=2015-33918-035&amp;site=ehost-live&amp;scope=site</t>
  </si>
  <si>
    <t>The interface between spirituality and violence in the lives of immigrant African women: Implications for help seeking and service provision.</t>
  </si>
  <si>
    <t>Ting, Laura; Panchanadeswaran, Subadra</t>
  </si>
  <si>
    <t>Journal of Aggression, Maltreatment &amp; Trauma</t>
  </si>
  <si>
    <t>2016-08151-004</t>
  </si>
  <si>
    <t>10.1080/10926771.2015.1081660</t>
  </si>
  <si>
    <t>African Cultural Groups; Help Seeking Behavior; Immigration; Intimate Partner Violence; Spirituality; Human Females; Religion; Faith; Adulthood (18 yrs &amp; older); Young Adulthood (18-29 yrs); Thirties (30-39 yrs); Middle Age (40-64 yrs); Female</t>
  </si>
  <si>
    <t>Immigration is one of many risk factors for intimate partner violence (IPV) due to the resulting stressors of acculturation and discrimination, in addition to economic changes in the family. Research is limited on African immigrant survivors of IPV in the United States, specifically in terms of women’s experiences with faith-based leaders when seeking help. Although informal help seeking with family elders is the preferred help-seeking method, in light of limited family support available in the United States, women often seek help from faith-based leaders. This qualitative study explored 15 African women’s experiences and perceptions of help seeking with faith-based leaders, and examined the role of spirituality in the lives of African immigrant women who experience IPV. Results indicate experiences of feeling blamed, stigmatized, and misunderstood, in addition to lack of practical help. Women’s self-isolation, however, did not preclude them from engaging in spiritual behaviors, forgiveness, and beliefs in God’s benevolence and future justice. Implications for coordinated responses between secular service providers and faith-based leaders and future research are discussed. (PsycINFO Database Record (c) 2016 APA, all rights reserved)</t>
  </si>
  <si>
    <t>http://search.ebscohost.com.proxy-ub.rug.nl/login.aspx?direct=true&amp;db=psyh&amp;AN=2016-08151-004&amp;site=ehost-live&amp;scope=site</t>
  </si>
  <si>
    <t>The Korean version of the Multicultural Quality of Life Index (MQLI-Kr): Development and validation.</t>
  </si>
  <si>
    <t>Yoon, Gihyun; Mezzich, Juan E.; Shin, Sun-Kyung; Ruiperez, Maria A.; Zapata-Vega, Maria I.; Liu, Jason</t>
  </si>
  <si>
    <t>2008-03873-006</t>
  </si>
  <si>
    <t>10.1007/s10903-007-9047-9</t>
  </si>
  <si>
    <t>Measurement; Quality of Life; South Asian Cultural Groups; Test Construction; Test Validity; Multilingualism; Psychiatric Patients; Test Forms; Test Reliability; Adulthood (18 yrs &amp; older); Young Adulthood (18-29 yrs); Thirties (30-39 yrs); Middle Age (40-64 yrs); Aged (65 yrs &amp; older); Male; Female</t>
  </si>
  <si>
    <t>Our research team of multilingual and multicultural members designed comprehensive, yet efficient, culture-informed, and self-rated Multicultural Quality of Life Indexes for both English-speaking individuals and for growing immigrant groups in the United States. A Korean version of the Multicultural Quality of Life Index (MQLIKr) was developed as part of this multilingual project. The team tested the MQLI-Kr on 130 Koreans (100 psychiatric patients and 30 professionals). MQLI-Kr was quite efficient and easy to use. The internal consistency attained a Cronbach's α of 0.97 for the combined sample. A factor analysis yielded one single factor, which accounted for 81.5% of the items' variance. The test-retest reliability correlation coefficient of the MQLI-Kr was 0.85. Significant differences in the mean MQLI-Kr scores were observed between the patients' group and the professionals' group (p &lt; 0.001). Thus the results of this study showed high feasibility, internal consistency, reliability, and discriminant validity for the MQLI-Kr. (PsycINFO Database Record (c) 2016 APA, all rights reserved)</t>
  </si>
  <si>
    <t>http://search.ebscohost.com.proxy-ub.rug.nl/login.aspx?direct=true&amp;db=psyh&amp;AN=2008-03873-006&amp;site=ehost-live&amp;scope=site</t>
  </si>
  <si>
    <t>The language backfire effect: How frontline employees decrease customer satisfaction through language use.</t>
  </si>
  <si>
    <t>Holmqvist, Jonas; Van Vaerenbergh, Yves; Lunardo, Renaud; Dahlén, Micael</t>
  </si>
  <si>
    <t>Journal of Retailing</t>
  </si>
  <si>
    <t>2019-38166-008</t>
  </si>
  <si>
    <t>10.1016/j.jretai.2019.03.004</t>
  </si>
  <si>
    <t>Business and Industrial Personnel; Consumer Behavior; Consumer Satisfaction; Customer Relationship Management; Native Language; Articulation (Speech); Marketing; Preferences; Retailing; Test Construction; Adulthood (18 yrs &amp; older); Male; Female</t>
  </si>
  <si>
    <t>Extant marketing research holds that customers prefer frontline personnel to speak the customers’ first language. Furthermore, current managerial practices instruct frontline employees to either use the customers’ first language or, in international settings, to use English. Through five studies in different retail and service contexts, we identify situations where the opposite is true. The results of the first two studies suggest that if customers initiate contact in a second language, the frontline employee’s switch to the customer’s first language constitutes an identity threat leading customers to feel less satisfied; an effect we term the language backfire effect. Our third study extends these results to a domestic context to test for the impact of linguistic acculturation on how immigrant customers perceive frontline employees’ language switch. The fourth study replicates the findings in a real-life retail context. These results present a paradox for marketing research: although frontline employees switch to customers’ first language to accommodate them, these actions might not have the desired consequences. Having identified and described the problem of the language backfire effect, our final study introduces and verifies a managerially actionable solution: combining the language switch with a language proficiency compliment offsets the language backfire effect. (PsycInfo Database Record (c) 2020 APA, all rights reserved)</t>
  </si>
  <si>
    <t>http://search.ebscohost.com.proxy-ub.rug.nl/login.aspx?direct=true&amp;db=psyh&amp;AN=2019-38166-008&amp;site=ehost-live&amp;scope=site</t>
  </si>
  <si>
    <t>The 'Latina epidemiologic paradox' revisited: The role of birthplace and acculturation in predicting infant low birth weight for Latinas in Los Angeles, CA.</t>
  </si>
  <si>
    <t>Hoggatt, Katherine J.; Flores, Marie; Solorio, Rosa; Wilhelm, Michelle; Ritz, Beate</t>
  </si>
  <si>
    <t>2012-25197-019</t>
  </si>
  <si>
    <t>10.1007/s10903-011-9556-4</t>
  </si>
  <si>
    <t>Acculturation; Birth Weight; Epidemiology; Risk Factors; Socioeconomic Status; Latinos/Latinas; Economic Disadvantage; Childhood (birth-12 yrs); School Age (6-12 yrs); Adolescence (13-17 yrs); Adulthood (18 yrs &amp; older); Young Adulthood (18-29 yrs); Thirties (30-39 yrs); Middle Age (40-64 yrs); Female</t>
  </si>
  <si>
    <t>The 'Latina epidemiologic paradox' refers to the observation that despite socioeconomic disadvantages, Latina mothers in the United States (US) have a similar or lower risk for delivering an infant with low birth weight (LBW) compared to non-Latina White mothers. An analogous paradox may exist between foreign-born (FB) and US-born (USB) Latinas. Our goal was to assess differences in LBW in USB Latinas, FB Latinas, and non-Latina Whites in Los Angeles County in 2003 using birth records and survey data. Using logistic regression, we estimated associations between LBW and birthplace/ethnicity in a birth cohort and nested survey responder group and between LBW and acculturation in responders to a follow-up survey. USB Latinas and FB Latinas had a higher prevalence of LBW infants compared to Whites (odds ratio [OR] = 1.34, 95% confidence interval [CI] = (1.17, 1.53) and OR = 1.32, 95% CI = (1.18, 1.49), respectively); when we adjusted for additional maternal risk factors these point estimates were attenuated, and interval estimates were consistent with a modest positive or inverse association. Among Latinas only, LBW was more common for high-acculturated FB and USB Latinas compared to low-acculturated FB Latinas, and there was limited evidence that environmental or behavior risk factors had less impact in low-acculturated Latinas. In summary, adjusting only for demographics, Latinas in our study were more likely to have LBW infants compared to Whites, in contrast to the Latina paradox hypothesis. Furthermore, adjusting for environmental or behavioral factors attenuated the positive association, but there was little evidence that Latinas had a lower prevalence of LBW regardless of the variables included in the models. Finally, among Latinas, there was limited evidence that associations between known risk factors and LBW were modified by acculturation. (PsycInfo Database Record (c) 2020 APA, all rights reserved)</t>
  </si>
  <si>
    <t>http://search.ebscohost.com.proxy-ub.rug.nl/login.aspx?direct=true&amp;db=psyh&amp;AN=2012-25197-019&amp;site=ehost-live&amp;scope=site</t>
  </si>
  <si>
    <t>The longitudinal relation between daily hassles and depressive symptoms among unaccompanied refugees in Norway.</t>
  </si>
  <si>
    <t>Keles, Serap; Idsøe, Thormod; Friborg, Oddgeir; Sirin, Selcuk; Oppedal, Brit</t>
  </si>
  <si>
    <t>Journal of Abnormal Child Psychology</t>
  </si>
  <si>
    <t>2016-62093-001</t>
  </si>
  <si>
    <t>10.1007/s10802-016-0251-8</t>
  </si>
  <si>
    <t>Acculturation; Major Depression; Refugees; Stress; Symptoms; Adolescent Characteristics; Adulthood (18 yrs &amp; older); Male; Female</t>
  </si>
  <si>
    <t>The aim of the present longitudinal study is to understand the longitudinal relation between depressive symptoms and daily hassles (i.e., general and acculturation hassles) in a high-risk population of unaccompanied refugees. We investigated the validity of three stress-mental health models: the stress exposure model, the stress generation model, and the reciprocal model. Data were collected from 918 unaccompanied refugees in Norway in three waves. Of the initial sample, the majority (82.1%) were male (Mage = 19.01 years, SD = 2.54 years). The data were analyzed with auto-regressive cross-lagged modeling and latent growth curve modeling. The results supported the stress exposure model for the relation between depressive symptoms and acculturation hassles, indicating that acculturation hassles predicted the subsequent levels of depressive symptoms rather than vice versa. On the other hand, the reciprocal model was supported for the relation between depressive symptoms and general hassles indicating a bidirectional, mutual relation. Unconditional latent growth models further showed that depression level remained unchanged over time, while levels of acculturation and general hassles decreased. The implications for clinical practice and immigration policy are discussed. (PsycINFO Database Record (c) 2017 APA, all rights reserved)</t>
  </si>
  <si>
    <t>http://search.ebscohost.com.proxy-ub.rug.nl/login.aspx?direct=true&amp;db=psyh&amp;AN=2016-62093-001&amp;site=ehost-live&amp;scope=site</t>
  </si>
  <si>
    <t>The majority's perceptions about adaptation to the host society of different immigrant groups: The distinct role of warmth and threat.</t>
  </si>
  <si>
    <t>López-Rodríguez, Lucía; Navas, Marisol; Cuadrado, Isabel; Coutant, Dawna; Worchel, Stephen</t>
  </si>
  <si>
    <t>2014-22196-004</t>
  </si>
  <si>
    <t>10.1016/j.ijintrel.2014.02.001</t>
  </si>
  <si>
    <t>Immigration; Racial and Ethnic Groups; Racial and Ethnic Attitudes; Social Adjustment; Society; Empathy; Perception; Racial and Ethnic Differences; Threat; Adolescence (13-17 yrs); Adulthood (18 yrs &amp; older); Young Adulthood (18-29 yrs); Thirties (30-39 yrs); Middle Age (40-64 yrs); Aged (65 yrs &amp; older); Male; Female</t>
  </si>
  <si>
    <t>The main objective of this research was to show that majority members differ in their perceptions of different immigrant groups as regards their warmth, competence, similarity, and triggered threat, and that these differences might explain why majority members vary in their perception of adaptation and the perceived need to adapt for different immigrant groups. Particularly, the study aimed to test the distinct role of stereotypes (especially the warmth dimension) and perceived threat (especially realistic threat) in predicting the majority's perception of adaptation and the need for immigrants to adapt. Spanish participants (N =307) responded to a questionnaire assessing Moroccan, Romanian, and Ecuadorian immigrants, reporting their perceptions of adaptation and the need for immigrants to adapt to the host society, on two dimensions of stereotypes (warmth and competence), perceived (realistic and symbolic) threat, and intergroup similarity. Results showed that the majority's perceptions about immigrants were specific to the immigrant target assessed. The psychosocial variables that predicted perception of adaptation and need to adapt differed depending on the immigrant target assessed, although warmth generally predicted perception of adaptation, and perceived threat generally predicted need to adapt. Accordingly, warmth was found to be a mediator in predicting perception of adaptation, whereas perceived realistic threat was a mediator when predicting the need to adapt. Intergroup similarity was a reliable mediator in both perception of adaptation and need to adapt. Overall, warmth seemed to be more closely related with acculturation perceptions, whereas perceived threat was more related with acculturation preferences. (PsycInfo Database Record (c) 2020 APA, all rights reserved)</t>
  </si>
  <si>
    <t>http://search.ebscohost.com.proxy-ub.rug.nl/login.aspx?direct=true&amp;db=psyh&amp;AN=2014-22196-004&amp;site=ehost-live&amp;scope=site</t>
  </si>
  <si>
    <t>The meaning of pain: A cultural formulation of a Syrian woman in Sweden.</t>
  </si>
  <si>
    <t>Bäärnhielm, Sofie</t>
  </si>
  <si>
    <t>2012-04261-006</t>
  </si>
  <si>
    <t>10.1177/1363461511427781</t>
  </si>
  <si>
    <t>Cross Cultural Differences; Ethnography; Human Females; Pain; Adulthood (18 yrs &amp; older); Middle Age (40-64 yrs); Female</t>
  </si>
  <si>
    <t>Ethnography provides a method for psychiatric assessment to obtain an insight into the patient’s culture, context, and life situation. The Outline for a Cultural Formulation (CF) is an ethnography-based, idiographic formulation intended to complement the multiaxial assessment in DSM-IV. Its contribution to routine clinical praxis will be discussed with reference to a case of a Syrian-born woman in Sweden. Using the CF in the clinical diagnostic process shifted understanding of the patient’s suffering from a mainly somatic frame of reference to an emphasis on emotional and social aspects. The usefulness of ethnography in clinical psychiatric diagnostic practice is discussed. (PsycINFO Database Record (c) 2016 APA, all rights reserved)</t>
  </si>
  <si>
    <t>http://search.ebscohost.com.proxy-ub.rug.nl/login.aspx?direct=true&amp;db=psyh&amp;AN=2012-04261-006&amp;site=ehost-live&amp;scope=site</t>
  </si>
  <si>
    <t>The mental health effects of retributive justice: The case of Iraqi refugees.</t>
  </si>
  <si>
    <t>Kira, Ibrahim A.; Lewandowski, Linda; Templin, Thomas; Ramaswamy, Vidya; Ozkan, Bulent; Hammad, Adnan; Mohanesh, Jamal</t>
  </si>
  <si>
    <t>2007-15003-007</t>
  </si>
  <si>
    <t>10.1080/15564900600980756</t>
  </si>
  <si>
    <t>Justice; Mental Health; Refugees; Trauma; Childhood (birth-12 yrs); School Age (6-12 yrs); Adolescence (13-17 yrs); Adulthood (18 yrs &amp; older); Young Adulthood (18-29 yrs); Thirties (30-39 yrs); Middle Age (40-64 yrs); Aged (65 yrs &amp; older); Male; Female</t>
  </si>
  <si>
    <t>The goal of this study was to examine whether the retributive justice enacted by the elimination of the oppressive regime in Iraq has positive mental health effects on Iraqi refugees. The study was conducted on a sample of 501 Iraqi refugees. Data was collected with measures for retributive justice, post-traumatic stress disorder (PTSD), cumulative trauma disorder (CTD), cumulative trauma, futuristic orientation, sociocultural adjustment, post-traumatic growth, social support, and other measures. Multiple regression and path analyses found that the variable regaining self-control and executive functions was the most predictive of the positive mental health gains. However, improvements in PTSD symptoms were not observed, possibly because of previous traumas or the ongoing trauma of discrimination, and the war in Iraq. (PsycINFO Database Record (c) 2016 APA, all rights reserved)</t>
  </si>
  <si>
    <t>http://search.ebscohost.com.proxy-ub.rug.nl/login.aspx?direct=true&amp;db=psyh&amp;AN=2007-15003-007&amp;site=ehost-live&amp;scope=site</t>
  </si>
  <si>
    <t>The Mental Health of Chinese Immigrants in Birmingham, UK.</t>
  </si>
  <si>
    <t>Huang, Shu-Ling; Spurgeon, Anne</t>
  </si>
  <si>
    <t>2006-20999-002</t>
  </si>
  <si>
    <t>10.1080/13557850600824161</t>
  </si>
  <si>
    <t>Emotional Adjustment; Immigration; Life Experiences; Mental Health; Adulthood (18 yrs &amp; older); Young Adulthood (18-29 yrs); Thirties (30-39 yrs); Middle Age (40-64 yrs); Male; Female</t>
  </si>
  <si>
    <t>Objectives: The objectives of this study were to describe the life experiences associated with migration to the UK and to explore in-depth information about the process of life adjustment to migration and the circumstances of mental health in Chinese immigrants living in a large city area. Method: A two-part research strategy using both quantitative and qualitative methods was employed. In the cross-sectional quantitative survey, 113 Chinese respondents completed a questionnaire investigating demographic factors, life experiences associated with migration, proficiency in the English language and mental health status. In the qualitative phase of the research, interviews were conducted with a further 24 immigrants to explore these factors in more depth. Results: In the questionnaire survey, over 60% of the group reported symptoms of poor mental health. Qualitative research shows that for those who were employed in catering, psychological adjustment was heavily dependent on strong ties with the Chinese community and there was minimal contact with the host society. By contrast, those concerned with professional development experienced conflict as a result of a high perceived need for integration and a recognition of the problems associated with this. Conclusion: The psychological distress experienced by immigrants of Chinese origin continues to be a largely invisible cause for concern. (PsycINFO Database Record (c) 2016 APA, all rights reserved)</t>
  </si>
  <si>
    <t>http://search.ebscohost.com.proxy-ub.rug.nl/login.aspx?direct=true&amp;db=psyh&amp;AN=2006-20999-002&amp;site=ehost-live&amp;scope=site</t>
  </si>
  <si>
    <t>The metabolic syndrome, biomarkers, and the acculturation–health relationship among older Mexican Americans.</t>
  </si>
  <si>
    <t>González, Hector M.; Tarraf, Wassim; Haan, Mary N.</t>
  </si>
  <si>
    <t>2011-22038-005</t>
  </si>
  <si>
    <t>10.1177/0898264311421371</t>
  </si>
  <si>
    <t>Acculturation; Biological Markers; Health; Metabolic Syndrome; Mexican Americans; Aging; Epidemiology; Life Expectancy; Adulthood (18 yrs &amp; older); Male; Female</t>
  </si>
  <si>
    <t>Objective: To examine the acculturation–health relationship using metabolic syndrome biomarkers. Method: Cross-sectional sample data. Participants: 1,789 Mexican Americans (60 years and older) from northern California. Main Outcome: Biomarkers (waist circumference, blood pressure, fasting plasma glucose, triglycerides, and high-density lipids) were used to construct the metabolic syndrome indicator using American Heart Association criteria. Main Predictor: Acculturation Rating Scale for Mexican Americans-II scores. Results: Higher acculturation scores were associated with a significantly lower risk for the metabolic syndrome for foreign-born, but not U.S.-born, Mexican Americans. Conclusion: Immigrant health advantages over U.S.-born Mexican Americans are not evident in older adulthood. Higher acculturation was associated with lowered metabolic syndrome risk among older foreign-born Mexican Americans. This suggests that the prevailing acculturative stress hypothesis may not apply to the health of older adults and that any negative relationship between acculturation and health found in younger adults may yield to different developmental health influences in later adulthood. (PsycINFO Database Record (c) 2016 APA, all rights reserved)</t>
  </si>
  <si>
    <t>http://search.ebscohost.com.proxy-ub.rug.nl/login.aspx?direct=true&amp;db=psyh&amp;AN=2011-22038-005&amp;site=ehost-live&amp;scope=site</t>
  </si>
  <si>
    <t>The mixed blessings of migration: Life satisfaction and self‐esteem over the course of migration.</t>
  </si>
  <si>
    <t>Lönnqvist, Jan‐Erik; Leikas, Sointu; Mähönen, Tuuli Anna; Jasinskaja‐Lahti, Inga</t>
  </si>
  <si>
    <t>2015-32498-007</t>
  </si>
  <si>
    <t>10.1002/ejsp.2105</t>
  </si>
  <si>
    <t>Human Migration; Life Satisfaction; Self-Esteem; Stress; Well Being; Adaptation; Adulthood (18 yrs &amp; older); Male; Female</t>
  </si>
  <si>
    <t>We investigated the psychological adaptation of Ingrian–Finnish migrants from Russia to Finland between 2008 and 2013. Pre‐migration data (N = 225) were collected at the Finnish language courses that were part of the immigration training program. The three post‐migration follow‐ups were conducted half a year (N = 155), and 2 (N = 133) and 3 years (N = 85) after migration. Well‐being was assessed with measures of Life Satisfaction and Self‐Esteem. Life Satisfaction increased from pre‐migration to the first post‐migration measurement point, after which it stabilized. Self‐Esteem decreased throughout the study. Variables reflecting adjustment to the event of migration (e.g., acculturation stress, socio‐cultural adaptation) were primarily associated with well‐being at the first post‐migration measurement point. More general determinants of well‐being (e.g., social support and subjective economic situation) were more consistently associated with well‐being throughout the study. The results suggest that migration can be beneficial to some but detrimental to other types of well‐being. (PsycINFO Database Record (c) 2016 APA, all rights reserved)</t>
  </si>
  <si>
    <t>http://search.ebscohost.com.proxy-ub.rug.nl/login.aspx?direct=true&amp;db=psyh&amp;AN=2015-32498-007&amp;site=ehost-live&amp;scope=site</t>
  </si>
  <si>
    <t>The model of pre-acculturative stress—A pre-migration study of potential migrants from Russia to Finland.</t>
  </si>
  <si>
    <t>Jasinskaja-Lahti, Inga; Yijälä, Anu</t>
  </si>
  <si>
    <t>2011-13386-011</t>
  </si>
  <si>
    <t>10.1016/j.ijintrel.2010.11.003</t>
  </si>
  <si>
    <t>Adaptation; Immigration; Sociocultural Factors; Socioeconomic Status; Stress; Well Being; Adulthood (18 yrs &amp; older); Young Adulthood (18-29 yrs); Thirties (30-39 yrs); Middle Age (40-64 yrs); Aged (65 yrs &amp; older); Very Old (85 yrs &amp; older); Male; Female</t>
  </si>
  <si>
    <t>This study tested a model of factors predicting pre-acculturative stress among potential migrants from Russia to Finland prior to their migration (N = 244). By applying the theory of stress (Lazarus &amp; Folkman, 1984), the model of acculturative stress (e.g., Berry, 2006) and the expectations model (e.g., Black, 1992; Black et al., 1992) to the pre-acculturation stage, it was hypothesized that the potential migrants’ pre-acculturative stress is a result of expectations about future (post-migration) adaptation. These expectations are developed through direct and indirect pre-migration contacts with, as well as knowledge about, the society of immigration. Three types of expectations during the pre-acculturation stage were studied: expected difficulties in socio-cultural adaptation, expected duration of adaptation, and expected discrimination. In line with the hypotheses, experiences of pre-acculturative stress clearly originated from the expectations that potential migrants had regarding their upcoming post-migration adaptation. Also, socioeconomic status, gender, general well-being, self-efficacy, perceived social support, and length of the pre-acculturation stage played important roles in predicting expectations and/or stress among the potential migrants. The study highlights that pre-acculturation is a complex process that begins at the pre-migration stage. It contributes to our understanding of pre-acculturation in general, as well as the factors affecting the formation of pre-acculturative stress among voluntary ethnic migrants. (PsycINFO Database Record (c) 2016 APA, all rights reserved)</t>
  </si>
  <si>
    <t>http://search.ebscohost.com.proxy-ub.rug.nl/login.aspx?direct=true&amp;db=psyh&amp;AN=2011-13386-011&amp;site=ehost-live&amp;scope=site</t>
  </si>
  <si>
    <t>The multicultural workplace: Interactive acculturation and intergroup relations.</t>
  </si>
  <si>
    <t>Oerlemans, Wido G. M.; Peeters, Maria C. W.</t>
  </si>
  <si>
    <t>Journal of Managerial Psychology</t>
  </si>
  <si>
    <t>2010-15511-002</t>
  </si>
  <si>
    <t>10.1108/02683941011048373</t>
  </si>
  <si>
    <t>Acculturation; Cross Cultural Differences; Immigration; Intergroup Dynamics; Working Conditions; Adulthood (18 yrs &amp; older); Young Adulthood (18-29 yrs); Thirties (30-39 yrs); Middle Age (40-64 yrs); Male; Female</t>
  </si>
  <si>
    <t>Purpose: The paper's aim is to introduce the interactive acculturation model (IAM) of Bourhis et al. to predict how disconcordance in acculturation orientations between host community and immigrant workers relates to the quality of intergroup work-relations. Design/methodology/approach: The sample consisted of 141 host community (Dutch) and 41 non-western immigrant workers of a postal service company who filled out a questionnaire. Methods of analyses include analysis of variance and multiple regression. Findings: In line with the IAM, results showed that a higher disconcordance in preferred acculturation orientations between host community and immigrant workers related to a poorer quality of intergroup work-relations. However, intergroup contact moderated this relationship differently for host community and immigrant workers. Research limitations/implications: Data are cross-sectional and collected in one organization. Future studies should replicate the findings to other organizational contexts, cultural groups, and collect longitudinal data to determine causal effects. Practical implications: Organizations should monitor disconcordance in acculturation orientations amongst host community and immigrant workers. A multicultural culture in organizations may reduce disconcordance in acculturation orientations between host community and immigrant workers. Originality/value: The paper helps to explain the mixed findings in cultural diversity research so far, by demonstrating that disconcordance in acculturation orientations relates negatively to intergroup work-relations in a multicultural workplace. (PsycINFO Database Record (c) 2017 APA, all rights reserved)</t>
  </si>
  <si>
    <t>http://search.ebscohost.com.proxy-ub.rug.nl/login.aspx?direct=true&amp;db=psyh&amp;AN=2010-15511-002&amp;site=ehost-live&amp;scope=site</t>
  </si>
  <si>
    <t>The need for peer acceptance and affiliation as underlying motive for aggressive behaviour and bullying others among immigrant youth living in Austria and Norway.</t>
  </si>
  <si>
    <t>Strohmeier, Dagmar; Fandrem, Hildegunn; Spiel, Christiane</t>
  </si>
  <si>
    <t>Anales de Psicología</t>
  </si>
  <si>
    <t>2012-25920-007</t>
  </si>
  <si>
    <t>Universidad de Murcia</t>
  </si>
  <si>
    <t>Affiliation Motivation; Aggressive Behavior; Immigration; Peer Relations; Bullying; School Violence; Adolescence (13-17 yrs); Male; Female</t>
  </si>
  <si>
    <t>This study (1) compared the overall levels of aggressive behaviour and bullying others and (2) investigated the predictive power of two underlying motives—reactive aggression and the need for peer acceptance and affiliation—between non-immigrant and immigrant youth living in two European countries. In Austria, data on aggressive behaviour was available for analyses, while in Norway bullying others, a subcategory of aggressive behaviour was investigated. The sample comprised 302 non-immigrant Norwegians (48.7% girls), 161 first generation immigrant adolescents living in Norway (51.6% girls), 339 non-immigrant Austrians (51.6% girls), and 126 first generation immigrants (48.4% girls) living in Austria aged 14 to 16 years. Immigrant status was associated with higher levels of bullying others in Norway. In Austria, no differences regarding aggressive behaviour were found. In both countries, multiple group structural equation models revealed that the need for peer acceptance and affiliation—but not reactive aggression—was a predictor of bullying others and aggressive behaviour among immigrants, but not among non-immigrants. Results are discussed regarding the process of acculturation among immigrant youth living in two European countries. (PsycINFO Database Record (c) 2016 APA, all rights reserved)</t>
  </si>
  <si>
    <t>http://search.ebscohost.com.proxy-ub.rug.nl/login.aspx?direct=true&amp;db=psyh&amp;AN=2012-25920-007&amp;site=ehost-live&amp;scope=site</t>
  </si>
  <si>
    <t>The phenomenon of somatization among community Chinese Americans.</t>
  </si>
  <si>
    <t>Mak, Winnie W. S.; Zane, Nolan W. S.</t>
  </si>
  <si>
    <t>2004-21582-005</t>
  </si>
  <si>
    <t>10.1007/s00127-004-0827-4</t>
  </si>
  <si>
    <t>Acculturation; Chinese Cultural Groups; Social Support; Stress; Somatization; Distress; Immigration; Adulthood (18 yrs &amp; older); Young Adulthood (18-29 yrs); Thirties (30-39 yrs); Middle Age (40-64 yrs); Aged (65 yrs &amp; older); Male; Female</t>
  </si>
  <si>
    <t>Objective: The phenomenon of somatization was explored in relation to the experiences of acculturation, stress, support, and distress. Methods: A representative community sample of 1,747 Chinese Americans (aged 18-65 years), selected by a multi-stage household sampling design, in the Los Angeles County was interviewed to tap their psychiatric diagnoses, symptomatology, level of acculturation, stress, and support. Results: Across all indices, Chinese Americans' level of somatic symptoms, impairment related to somatization, and percentage of meeting the Somatic Symptom Index 5/5 (SSI 5/5) criterion were comparable to those found in other populations. Length of residence in the U.S. and acculturation were not related to somatization. Regression analyses showed that anxiety, depression, gender, age, education, stressors, and support were significantly related to somatization, ps &lt; 0.05. Somatizers tended to perceive themselves with poor health and utilized both Western and indigenous Chinese medicine. Conclusion: The importance of demographics, psychological distress, and stress was emphasized in the explanation of somatization tendencies among immigrant Chinese Americans. Somatization might be a stress response with regard to increased distress severity and psychosocial stressors rather than a cultural response to express psychological problems in somatic terms. (PsycINFO Database Record (c) 2019 APA, all rights reserved)</t>
  </si>
  <si>
    <t>http://search.ebscohost.com.proxy-ub.rug.nl/login.aspx?direct=true&amp;db=psyh&amp;AN=2004-21582-005&amp;site=ehost-live&amp;scope=site</t>
  </si>
  <si>
    <t>The PHF21B gene is associated with major depression and modulates the stress response.</t>
  </si>
  <si>
    <t>Wong, M.-L.; Arcos-Burgos, M.; Liu, S.; Vélez, J. I.; Yu, C.; Baune, B. T.; Jawahar, M. C.; Arolt, V.; Dannlowski, U.; Chuah, A.; Huttley, G. A.; Fogarty, R.; Lewis, M. D.; Bornstein, S. R.; Licinio, J.</t>
  </si>
  <si>
    <t>Molecular Psychiatry</t>
  </si>
  <si>
    <t>2017-40897-010</t>
  </si>
  <si>
    <t>10.1038/mp.2016.174</t>
  </si>
  <si>
    <t>Genes; Major Depression; Stress; Symptoms; Adulthood (18 yrs &amp; older); Young Adulthood (18-29 yrs); Thirties (30-39 yrs); Middle Age (40-64 yrs); Aged (65 yrs &amp; older); Male; Female</t>
  </si>
  <si>
    <t>Major depressive disorder (MDD) affects around 350 million people worldwide; however, the underlying genetic basis remains largely unknown. In this study, we took into account that MDD is a gene-environment disorder, in which stress is a critical component, and used whole-genome screening of functional variants to investigate the ‘missing heritability’ in MDD. Genome-wide association studies (GWAS) using single- and multi-locus linear mixed-effect models were performed in a Los Angeles Mexican- American cohort (196 controls, 203 MDD) and in a replication European-ancestry cohort (499 controls, 473 MDD). Our analyses took into consideration the stress levels in the control populations. The Mexican-American controls, comprised primarily of recent immigrants, had high levels of stress due to acculturation issues and the European-ancestry controls with high stress levels were given higher weights in our analysis. We identified 44 common and rare functional variants associated with mild to moderate MDD in the Mexican-American cohort (genome-wide false discovery rate, FDR, &lt;0.05), and their pathway analysis revealed that the three top overrepresented Gene Ontology (GO) processes were innate immune response, glutamate receptor signaling and detection of chemical stimulus in smell sensory perception. Rare variant analysis replicated the association of the PHF21B gene in the ethnically unrelated European-ancestry cohort. The TRPM2 gene, previously implicated in mood disorders, may also be considered replicated by our analyses. Whole-genome sequencing analyses of a subset of the cohorts revealed that Europeanancestry individuals have a significantly reduced (50%) number of single nucleotide variants compared with Mexican-American individuals, and for this reason the role of rare variants may vary across populations. PHF21b variants contribute significantly to differences in the levels of expression of this gene in several brain areas, including the hippocampus. Furthermore, using an animal model of stress, we found that Phf21b hippocampal gene expression is significantly decreased in animals resilient to chronic restraint stress when compared with non-chronically stressed animals. Together, our results reveal that including stress level data enables the identification of novel rare functional variants associated with MDD. (PsycINFO Database Record (c) 2017 APA, all rights reserved)</t>
  </si>
  <si>
    <t>http://search.ebscohost.com.proxy-ub.rug.nl/login.aspx?direct=true&amp;db=psyh&amp;AN=2017-40897-010&amp;site=ehost-live&amp;scope=site</t>
  </si>
  <si>
    <t>The price of cosmopolitanism: Globalization, class structure, and language endangerment in Shanghai.</t>
  </si>
  <si>
    <t>Xu, Fang</t>
  </si>
  <si>
    <t>2016-53069-172</t>
  </si>
  <si>
    <t>Globalization; Language Development; Organizations; Adulthood (18 yrs &amp; older)</t>
  </si>
  <si>
    <t>Over the last two decades, Shanghai has experienced an unprecedented transformation, as China's economic globalization and urban expansion have increased rapidly. Looking beyond statistics and architectural spectacles, I examine a seemingly personal choice in Shanghai, speaking Putonghua Mandarin, the official language, or the Shanghai dialect. This study contextualizes the contested urban linguistic space, and illustrates the political, social, and cultural conditions in this China's globalizing city. Through archival research, fifty in-depth interviews, two hundred and fifty survey questionnaires, and ethnographic fieldwork in Shanghai in the fall and winter of 2013, I document the impact of three sets of state policies driving the Shanghai dialect to the brink of extinction, and reactions of Shanghairen (Shanghai people) to preserve their linguistic heritage, and to safeguard their place-bound identity. First, state language policies systematically put Shanghai dialect at a discriminated position, through a nationalist agenda associating the official language with patriotism, and upward social mobility. In response to this state-sponsored language oppression, a grassroots dialect preservation movements struggles to protect Shanghai's linguistic heritage. Second, urban redevelopment policies to accommodate the infrastructure demanded by a global city displaced more than one million Shanghai households out of the urban center. It not only deprives them of the urban central residency, challenges their claim to urban public space, but also disperses the Shanghai dialect community. Facing an urban built environment bearing little relevance to Shanghai's history and long-time residents, Shanghairen rejects newly-built architectural spectacles and articulates an alternative image of cosmopolitan Shanghai located in the historical urban center. The third reason behind the rapid decline of Shanghai dialect speaking is the influx of millions of internal migrants, and the selective social integration of these non-speakers in Shanghai after reforms of the household registration (hukou) system. Instead of a dual society characterized by those with a Shanghai urban hukou and those without, my study suggests a more nuanced social class restructuring. On the one hand, migrants now have better overall chances for social acceptance and integration as institutional barriers represented by an individual's hukou status have receded; on the other hand, social and cultural boundaries are effectively maintained through language and lifestyle. Only those highly educated and wealthy newcomers are accepted on the job market and in social circles, while less-educated rural migrants are excluded. To synthesize, in exchange for Shanghai's global city status and improved standard of living, Shanghairen have been relocated away from the urban center, while their linguistic right to the city is threatened. They have also experienced relative deprivation of privileges in terms of exclusive access to employment and top quality social services. In this study, they come together to tell a story of the price locals pay when an authoritarian, centralized state fashions a city compatible with and competitive for globalization. (PsycINFO Database Record (c) 2017 APA, all rights reserved)</t>
  </si>
  <si>
    <t>http://search.ebscohost.com.proxy-ub.rug.nl/login.aspx?direct=true&amp;db=psyh&amp;AN=2016-53069-172&amp;site=ehost-live&amp;scope=site</t>
  </si>
  <si>
    <t>The psychological implications of stress related to immigration and citizenship status among Mexican-origin adults living in California.</t>
  </si>
  <si>
    <t>Nova, Cynthia L.</t>
  </si>
  <si>
    <t>2014-99020-152</t>
  </si>
  <si>
    <t>Citizenship; Immigration; Mexican Americans; Psychodynamics; Stress; Acculturation; Adulthood (18 yrs &amp; older)</t>
  </si>
  <si>
    <t>This quantitative study explored significant differences in mental health outcomes and acculturation stressors among three citizenship and immigration status groups: U.S. born Mexican Americans, documented Mexican immigrants, and undocumented Mexican immigrants. A cross-sectional survey was conducted on a sample of 99 Mexican-origin adults living in California. To test the hypotheses a multivariate analysis of variance (MANOVA), univariate analysis of variance (ANOVA), and post-hoc tests. Dependent variables were assessed using the following measures: Center for Epidemiological Studies Scale (CES-D), the Personality Assessment Inventory Anxiety scale (PAI ANX), Hispanic Stress Inventory (HSI), a modified version of the Perceived Racism Scale for Latina/os (PRSL), 7-item Fear of Deportation (Arbona et al., 2010), and a single question adopted from a survey conducted by the Pew Hispanic Center regarding fear of deportation (2007). The impetus for this study was to examine the psychological implications of immigration and citizenship status and to address a gap in research regarding mental health among undocumented Mexican immigrants. It was hypothesized that: (a) the undocumented Mexican immigrant group would report significantly higher levels of depression and anxiety, relative to the documented Mexican immigrant or U.S. born Mexican American groups, (b) in comparison to the documented immigrant and U.S. born status groups, the undocumented immigrant status group would report significantly higher levels of acculturative and discrimination stress, (c) undocumented and documented Mexican immigrant status groups would report similar levels of fear of deportation, (d) the undocumented immigrant group would report significantly higher levels of immigration stress, relative to the documented immigrant group, (e) and acculturative stress would differentiate between the three immigration and citizenship status groups. Results indicate that with the exception of discrimination and acculturative stress, mental health outcomes and acculturation stressors differed based on immigration and citizenship status among all three status groups. That is, undocumented Mexican immigrants reported significantly higher levels of depression, anxiety, immigration stress, and fear of deportation, than documented Mexican immigrants or U.S. born Mexican Americans. Post hoc analysis revealed that the depression variable was a significant predictor, followed by the acculturative stress variable. Clinical implications and future directions are discussed. (PsycINFO Database Record (c) 2016 APA, all rights reserved)</t>
  </si>
  <si>
    <t>http://search.ebscohost.com.proxy-ub.rug.nl/login.aspx?direct=true&amp;db=psyh&amp;AN=2014-99020-152&amp;site=ehost-live&amp;scope=site</t>
  </si>
  <si>
    <t>'The psychosocial portrait of immigration through the medium of reading': Leisure reading and its role in the lives of Russian-speaking immigrants in Toronto.</t>
  </si>
  <si>
    <t>Dali, Keren</t>
  </si>
  <si>
    <t>2014-99030-552</t>
  </si>
  <si>
    <t>Immigration; Leisure Time; Psychosocial Development; Reading; Phenomenology</t>
  </si>
  <si>
    <t>This doctoral study investigates the nature and role of leisure reading in the lives of avid immigrant readers. Guided by hermeneutic phenomenology and conducted by means of surveys and in-depth interviews, it uses a sample of Russian-speaking immigrants in Toronto, Canada, as a case study. The overarching research problem is divided into three research questions (RQ): RQ1: Who are the readers? RQ2: What are the main characteristics of reading behavior and habits of participants after immigration? RQ3: What role does leisure reading play in participants' lives in immigration? Answering RQ1, the study paints demographic and socio-cultural portraits of participants; recreates a variety of contexts shaping their reading; and unfolds their reader histories. In response to RQ2, it traces immediate post-immigration fluctuations in reading behavior; records the most peculiar reading contents; explores participants' self-perceptions as readers; outlines the major areas of post-immigration changes in leisure reading; and presents the analysis of acculturation stress in the area of leisure reading. It is concluded that leisure reading can be a more sensitive indicator of acculturation than more utilitarian measures, because it can open a window to the cultural and psychological intricacies of acculturation. Finally, RQ3 generates a theoretical discussion of the concept of 'the role of reading' and determines the study focus on immigration-specific, emotional and instrumental, roles. Leisure reading is found important in coping with the culture shock; sharing the experience of others and assessing personal immigration paths; re-evaluating the history of the fatherland and gaining a new perspective on the national heritage; stabilizing identity; learning about the new country; improving English-language proficiency; and compensating for the deficiencies of a transitional period. In addition, leisure reading emerges as a powerful force cementing ethnic and transnational reading communities. The study expands the selected acculturation models and theories; introduces clarity to the concepts of the role and appeal of reading; highlights the dual and self-reinforcing function of reading as a measure and a determinant of acculturation. Finally, it presents a systematic examination of the ethnic readership that has escaped the attention of reading researchers in the largest immigrant-receiving countries, Canada and the United States. (PsycINFO Database Record (c) 2016 APA, all rights reserved)</t>
  </si>
  <si>
    <t>http://search.ebscohost.com.proxy-ub.rug.nl/login.aspx?direct=true&amp;db=psyh&amp;AN=2014-99030-552&amp;site=ehost-live&amp;scope=site</t>
  </si>
  <si>
    <t>The relation between acculturation and alcohol consumption patterns among older Asian and Hispanic immigrants.</t>
  </si>
  <si>
    <t>Bryant, Ami N.; Kim, Giyeon</t>
  </si>
  <si>
    <t>2013-05293-002</t>
  </si>
  <si>
    <t>10.1080/13607863.2012.727382</t>
  </si>
  <si>
    <t>Acculturation; Alcohols; Binge Drinking; Immigration; Adulthood (18 yrs &amp; older); Aged (65 yrs &amp; older); Male; Female</t>
  </si>
  <si>
    <t>This study examines the relation between acculturation and alcohol consumption patterns among older Asian and Hispanic immigrants in the state of California. Data were obtained from the 2009 California Health Interview Survey and included Asian (n = 264) and Hispanic (n = 571) adults aged 60 and older who were born outside of the US. Outcome variables included presence of past year alcohol consumption, past year binge drinking, and number of binge drinking days. Acculturation was measured with items pertaining to English use and proficiency. Hierarchical multiple or logistic regression analyses were conducted separately for each racial/ ethnic group and each dependent variable. Alcohol consumption was found in less than half of the sample for both Asians (43.2%) and Hispanics (39.2%). Binge drinking was found in 3.1% of Asians and 8.4% of Hispanics. Acculturation was significantly related to past year alcohol consumption for Hispanics, past year binge drinking for Asians, and binge drinking days for Asians, such that higher level of acculturation predicted a greater likelihood of alcohol consumption but decreased likelihood of binge drinking and fewer binge drinking days. The results indicate that acculturation may be related to alcohol consumption patterns for older immigrants. This suggests future needs to develop an in-depth understanding of the health behaviors of these immigrant elderly groups. (PsycINFO Database Record (c) 2016 APA, all rights reserved)</t>
  </si>
  <si>
    <t>http://search.ebscohost.com.proxy-ub.rug.nl/login.aspx?direct=true&amp;db=psyh&amp;AN=2013-05293-002&amp;site=ehost-live&amp;scope=site</t>
  </si>
  <si>
    <t>The relationship between acculturation and job satisfaction among Chinese immigrants in the New York city restaurant business.</t>
  </si>
  <si>
    <t>Au, A. Y. W.; Garey, J. G.; Bermas, N.; Chan, M. M.</t>
  </si>
  <si>
    <t>International Journal of Hospitality Management</t>
  </si>
  <si>
    <t>2005-16775-001</t>
  </si>
  <si>
    <t>10.1016/S0278-4319(97)00040-6</t>
  </si>
  <si>
    <t>Acculturation; Business; Employee Attitudes; Immigration; Job Satisfaction; Urban Environments; Adulthood (18 yrs &amp; older); Male; Female</t>
  </si>
  <si>
    <t>This exploratory study investigated the process of acculturation and its influence on job satisfaction. Our convenience sample consisted of 65 Chinese immigrant restaurant workers from New York City, ('NYC') employed either in 'Chinatown' (centralized Chinese area) or 'City' (outside the Chinatown area) sites. The data were collected using acculturation and job satisfaction questionnaires augmented by open-ended questions. Results indicate that City workers are more acculturated than Chinatown workers, and seem to have higher levels of job satisfaction. Acculturation was related to job satisfaction. English proficiency and education were related to acculturation, but not to job satisfaction. Male workers are both more acculturated and more satisfied than their female counterparts. (PsycINFO Database Record (c) 2017 APA, all rights reserved)</t>
  </si>
  <si>
    <t>http://search.ebscohost.com.proxy-ub.rug.nl/login.aspx?direct=true&amp;db=psyh&amp;AN=2005-16775-001&amp;site=ehost-live&amp;scope=site</t>
  </si>
  <si>
    <t>The relationship between acculturation and schema among young Latino/Latina adult immigrants.</t>
  </si>
  <si>
    <t>Schall, Eni</t>
  </si>
  <si>
    <t>2008-99220-361</t>
  </si>
  <si>
    <t>Acculturation; Immigration; Schema; Latinos/Latinas; Adulthood (18 yrs &amp; older); Young Adulthood (18-29 yrs)</t>
  </si>
  <si>
    <t>The purpose of this study was to examine the relationship between acculturation and schema in a sample of young Latino/Latina adult immigrants in the Bay Area cities of Pittsburg, Brentwood, and Pleasant Hill, California. More specifically, this study investigated whether young Latino/Latina adults (aged 18-24) who immigrated to the United States have different patterns and levels of dysfunctional core beliefs from the young Latino/Latina adults born in the United States. Furthermore, the study investigated whether specific core beliefs are related to different acculturation and acculturative stress. The participants were randomly selected students 18 to 24 years of age, and they were asked to fill out a questionnaire relating to their acculturation, schema, and acculturative stress. Descriptive, comparison, and binomial regression analyses were preformed. (PsycINFO Database Record (c) 2016 APA, all rights reserved)</t>
  </si>
  <si>
    <t>http://search.ebscohost.com.proxy-ub.rug.nl/login.aspx?direct=true&amp;db=psyh&amp;AN=2008-99220-361&amp;site=ehost-live&amp;scope=site</t>
  </si>
  <si>
    <t>The relationship between acculturation and the seeking of social support as a coping strategy for various life stressors among Mexican-American adults.</t>
  </si>
  <si>
    <t>Strong, Valentina D.</t>
  </si>
  <si>
    <t>9-B</t>
  </si>
  <si>
    <t>2011-99060-165</t>
  </si>
  <si>
    <t>Acculturation; Coping Behavior; Mexican Americans; Social Support; Adulthood (18 yrs &amp; older)</t>
  </si>
  <si>
    <t>Social support has been studied extensively as an important resource for coping. However, research on how social support is sought and used by ethnic minority groups is fairly limited. Considering the large immigrant population in the U.S., particularly in California, the current study attempts to explore variances in the social support and acculturation processes within the Mexican/Mexican-American community of California with the intent to better inform community mental health services provided to immigrant and culturally diverse clients and families. The current study examined survey data from 48 Mexican/Mexican-American adults living in California. Participants' levels of immersion into mainstream U.S. culture were assessed in order to explore the relationship between their acculturation profiles and what types of social support would be sought by participants when coping with five common life stressors. The types of social support consisted of family member, peer, doctor, religious leader, mental health provider, etc. The life stressors entailed: family, significant-other, financial, personal emotional/psychological and work/school-related stressors. There were five similar hypotheses for this study, one for each life stressor. The results supported only the second hypothesis which predicted that levels of immersion into the U.S. would be significantly related with type of social support chosen for significant-other problems such that lower levels of U.S. immersion will be more likely related with Family Member social support, and higher levels of U.S. immersion will be more likely related with other (ie. peer, mental health professional, religious leader and self-reliance) sources of social support. The group who chose family member support had a significantly lower mean U.S. immersion score than did those who chose other kinds of support. However, through exploratory analyses, it was found that this relationship only held for females, not males. Overall, the data showed that participants would initially seek help from a close friend or family member when dealing with the various stressors. Certain limitations were inherent in the current study. Foremost was the small sample size which contributed to noticeably unequal groups on some variables like gender and generation level. For instance, there were three times more female than male participants. (PsycINFO Database Record (c) 2016 APA, all rights reserved)</t>
  </si>
  <si>
    <t>http://search.ebscohost.com.proxy-ub.rug.nl/login.aspx?direct=true&amp;db=psyh&amp;AN=2011-99060-165&amp;site=ehost-live&amp;scope=site</t>
  </si>
  <si>
    <t>The relationship between acculturation factors and symptoms of depression: A cross-sectional study with immigrants living in Athens.</t>
  </si>
  <si>
    <t>Gonidakis, Fragiskos; Korakakis, Panagiotis; Ploumpidis, Dimitris; Karapavlou, Dafni-Alexandra; Rogakou, Efi; Madianos, Michael G.</t>
  </si>
  <si>
    <t>2011-20937-004</t>
  </si>
  <si>
    <t>10.1177/1363461511408493</t>
  </si>
  <si>
    <t>Acculturation; Immigration; Major Depression; Symptoms; Adulthood (18 yrs &amp; older); Male; Female</t>
  </si>
  <si>
    <t>The process of acculturation observed in immigrants is part of an adjustment to the values and norms of a new society, and possibly the loss of norms of the society of origin. Acculturation has been linked to stress-related psychological disorders such as depression. The present study investigates the relationship between three acculturation domains (everyday life behaviors, wishful orientation/nostos, and ethnic identity) and symptoms of depression in a sample of foreign immigrants living in Athens, Greece. The sample consisted of 317 immigrants who visited two non-governmental organization polyclinics. All participants were interviewed using the Immigrant Acculturation Scale (IAS) and the Center for Epidemiological Studies Depression Scale (CES-D). The results showed that 133 (42%) out of the 317 interviewees were in a depressive state (CES-D&gt;15). The main finding was that high CES-D scores were related to low scores in the IAS Everyday Life and Wishful Orientation factors, while no relationship was found between depressive symptomatology and the IAS Identity factor. Short duration of stay in Greece, lack of steady job, and lack of residence permit were also related to high CES-D scores. In conclusion, adaptation to mainstream culture daily behaviors as well as the wish to integrate with individuals from the mainstream culture and settle permanently in the new country could be seen as part of an adaptive mechanism that protects the individual from experiencing depressive symptomatology. (PsycINFO Database Record (c) 2016 APA, all rights reserved)</t>
  </si>
  <si>
    <t>http://search.ebscohost.com.proxy-ub.rug.nl/login.aspx?direct=true&amp;db=psyh&amp;AN=2011-20937-004&amp;site=ehost-live&amp;scope=site</t>
  </si>
  <si>
    <t>The relationship between acculturation strategies and depressive and anxiety disorders in Turkish migrants in the Netherlands.</t>
  </si>
  <si>
    <t>Ince, Burçin Ünlü; Fassaert, Thijs; de Wit, Matty A. S.; Cuijpers, Pim; Smit, Jan; Ruwaard, Jeroen; Riper, Heleen</t>
  </si>
  <si>
    <t>2014-48002-001</t>
  </si>
  <si>
    <t>Acculturation; Anxiety Disorders; Major Depression; Immigration; Marginalization; Morbidity; Adulthood (18 yrs &amp; older); Young Adulthood (18-29 yrs); Thirties (30-39 yrs); Middle Age (40-64 yrs); Male; Female</t>
  </si>
  <si>
    <t>Background: Turkish migrants in the Netherlands have a high prevalence of depressive and/or anxiety disorders. Acculturation has been shown to be related to higher levels of psychological distress, although it is not clear whether this also holds for depressive and anxiety disorders in Turkish migrants. This study aims to clarify the relationship between acculturation strategies (integration, assimilation, separation and marginalization) and the prevalence of depressive and anxiety disorders as well as utilisation of GP care among Turkish migrants. Methods: Existing data from an epidemiological study conducted among Dutch, Turkish and Moroccan inhabitants of Amsterdam were re-examined. Four scales of acculturation strategies were created in combination with the bi-dimensional approach of acculturation by factor analysis. The Lowlands Acculturation Scale and the Composite International Diagnostic Interview were used to assess acculturation and mood and anxiety disorders. Socio-demographic variables, depressive, anxiety and co-morbidity of both disorders and the use of health care services were associated with the four acculturation strategies by means of Chi-Squared and Likelihood tests. Three two-step logistic regression analyses were performed to control for possible, confounding variables. Results: The sample consisted of 210 Turkish migrants. Significant associations were found between the acculturation strategies and age (p &lt; .01), education (p &lt; .01), daily occupation (p &lt; .01) and having a long-term relationship (p = .03). A significant association was found between acculturation strategies and depressive disorders (p = .049): integration was associated with a lower risk of depression, separation with a higher risk. Using the axis separately, participation in Dutch society showed a significant relationship with a decreased risk of depressive, anxiety and co-morbidity of both disorders (OR = .15; 95% CI: .024 - .98). Non-participation showed no significant association. No association was found between the acculturation strategies and uptake of GP care. Conclusions: Turkish migrants who integrate may have a lower risk of developing a depressive disorder. Participation in Dutch culture is associated with a decreased risk of depressive, anxiety and co-morbidity of both disorders. Further research should focus on the assessment of acculturation in the detection of depression. (PsycInfo Database Record (c) 2020 APA, all rights reserved)</t>
  </si>
  <si>
    <t>http://search.ebscohost.com.proxy-ub.rug.nl/login.aspx?direct=true&amp;db=psyh&amp;AN=2014-48002-001&amp;site=ehost-live&amp;scope=site</t>
  </si>
  <si>
    <t>The relationship between acculturation strategy and job satisfaction for professional Chinese immigrants in the Australian workplace.</t>
  </si>
  <si>
    <t>Lu, Ying; Samaratunge, Ramanie; Härtel, Charmine E.J.</t>
  </si>
  <si>
    <t>2012-22127-006</t>
  </si>
  <si>
    <t>10.1016/j.ijintrel.2012.04.003</t>
  </si>
  <si>
    <t>Acculturation; Chinese Cultural Groups; Individual Differences; Job Satisfaction; Working Conditions; Immigration; Adulthood (18 yrs &amp; older); Young Adulthood (18-29 yrs); Thirties (30-39 yrs); Middle Age (40-64 yrs); Male; Female</t>
  </si>
  <si>
    <t>Based on Berry's seminal work on the acculturation process, this study investigates the individual differences of professional Chinese immigrants (PCIs) in terms of their attitudes toward acculturation strategies, and the relationship between acculturation strategies and job satisfaction of PCIs in the Australian workplace. Our survey of a sample of 220 PCIs reveals that PCIs have a predominant preference for maintaining their home culture and that the impact of the acculturation process on their job satisfaction is significant. PCIs adopting the assimilation strategy report the highest level of job satisfaction, while those who embrace the separation strategy have the lowest level. This study provides valuable information for managers and organizations in managing immigrant employees via effective acculturation programs. (PsycInfo Database Record (c) 2020 APA, all rights reserved)</t>
  </si>
  <si>
    <t>http://search.ebscohost.com.proxy-ub.rug.nl/login.aspx?direct=true&amp;db=psyh&amp;AN=2012-22127-006&amp;site=ehost-live&amp;scope=site</t>
  </si>
  <si>
    <t>The relationship between acculturation, gender, education, and perceived social support among Somali-American immigrants.</t>
  </si>
  <si>
    <t>Duale, Faiza</t>
  </si>
  <si>
    <t>2016-37860-097</t>
  </si>
  <si>
    <t>Acculturation; Education; Human Sex Differences; Immigration; Social Support; Adulthood (18 yrs &amp; older); Young Adulthood (18-29 yrs); Thirties (30-39 yrs); Middle Age (40-64 yrs); Male; Female</t>
  </si>
  <si>
    <t>This study looked at the relationship between acculturation, gender, education, and perceived social support among Somali-American immigrants. Participants were recruited from California through a Somali community organization in San Diego. The total number of participants was 25, both male (N=12, 48%) and female (N=13, 52%), ranging from 25 to 55 years of age (M=37.96, SD=7.797). For Hypothesis 1, the independent variable is gender, and the dependent variable is acculturation as measured by the Bidimensional Acculturation Scale (BAS). For Hypothesis 2, the independent variable is gender, and the dependent variable is acculturation as measured by the BAS. For Hypothesis 3, the independent variable is perceived social support, and the dependent variable is acculturation as measured by the BAS. Hypotheses were tested statistically at the p &lt; .05 level of significance. Hypothesis 1 and hypothesis 2 were supported and the results were statistically significant. Hypothesis 3 predicted that there is a relationship between perceived social support and acculturation among Somali-American immigrants. Social Support alone as a predictor did not contribute in explaining weather there was a relationship with the dependent variable (acculturation). Though hypothesis 3 is not statistically significant, the result indicated that they were negatively correlated, concluding that as acculturation increases, social support decreases. Further research is needed in understanding the acculturation process of Somali-American immigrants. (PsycINFO Database Record (c) 2016 APA, all rights reserved)</t>
  </si>
  <si>
    <t>http://search.ebscohost.com.proxy-ub.rug.nl/login.aspx?direct=true&amp;db=psyh&amp;AN=2016-37860-097&amp;site=ehost-live&amp;scope=site</t>
  </si>
  <si>
    <t>The relationship between dietary acculturation and type 2 diabetes risk among Asian Indians in the U. S.</t>
  </si>
  <si>
    <t>Venkatesh, Sumathi; Conner, Thomas; Song, Won O.; Olson, Beth H.; Weatherspoon, Lorraine J.</t>
  </si>
  <si>
    <t>2017-10001-008</t>
  </si>
  <si>
    <t>10.1007/s10903-016-0482-3</t>
  </si>
  <si>
    <t>Acculturation; Diabetes; Diets; Risk Factors; Asians; Adulthood (18 yrs &amp; older); Young Adulthood (18-29 yrs); Thirties (30-39 yrs); Middle Age (40-64 yrs); Aged (65 yrs &amp; older); Male; Female</t>
  </si>
  <si>
    <t>Asian Indians have a high prevalence of type 2 diabetes in the U.S. (17.4–29 %). This study examined the relationship between dietary acculturation of Asian Indians in the U.S. and their future risk for type 2 diabetes. A validated Asian Indian Dietary Acculturation Measure (AIDAM) and the Finnish Diabetes Risk Score (FINDRISC) were completed by 153 Asian Indians in the U.S. via a cross-sectional web-survey. Correlations and relative risk ratios were used to examine the association between AIDAM and FINDRISC. A significantly larger proportion of Non-Indian Oriented participants (44.7 %) had higher FINDRISC scores (scores 7–26) compared to the Asian Indian Oriented group (27.9 %) (p = .024), and also had increased relative predictive risk for type 2 diabetes (relative risk ratio = 1.6). A positive association between dietary acculturation and diabetes risk was evident in our sample, which highlights the importance of assessing dietary acculturation in non-native groups when investigating type 2 diabetes risk factors. (PsycINFO Database Record (c) 2017 APA, all rights reserved)</t>
  </si>
  <si>
    <t>http://search.ebscohost.com.proxy-ub.rug.nl/login.aspx?direct=true&amp;db=psyh&amp;AN=2017-10001-008&amp;site=ehost-live&amp;scope=site</t>
  </si>
  <si>
    <t>The relationship between gender differences in acculturation and marital satisfaction among first-generation Iranian American immigrants.</t>
  </si>
  <si>
    <t>Azinkhan, Hedieh Tannaz</t>
  </si>
  <si>
    <t>10-B(E)</t>
  </si>
  <si>
    <t>2015-99080-522</t>
  </si>
  <si>
    <t>Acculturation; Human Sex Differences; Marital Satisfaction; Adulthood (18 yrs &amp; older); Male; Female</t>
  </si>
  <si>
    <t>Background: The study was designed to address the empirical research problem: What is the relationship between acculturation and marital satisfaction among first generation Iranian American Immigrants. Method: Correlational research design was used to study the relationship between gender differences in acculturation and marital satisfaction among first-generation Iranian American immigrants (Charles &amp; Mertler, 2002; Creswell, 2012). This design was utilized for two major purposes: (a) to explore whether or not there was a causative linkage between the variables and (b) to predict scores on one variable from research participants' scores on other variables. Subjects for this research study were recruited from Iranian American immigrants residing in southern California, identified themselves as married, first generation Iranian immigrants, and between the ages of 25-60 ( M = 42.5, SD = 9.558). For Hypothesis 1, it was hypothesized that there would be a significant positive correlation between the level of acculturation and marital satisfaction between the CLSI and the ENRICH Marital Satisfaction Scale (EMS; Olson, Fournier, &amp; Druckman, 1983) as measured by Pearson r at the p &lt; 0.05 level. For Hypothesis 2, It was hypothesized that there would be a significant difference in the acculturation levels for the two genders. It was expected that Iranian male immigrants would have a significantly lower score than their female counterparts measured by individual t-tests at p &lt; 0.05. Results: Both hypotheses were supported. Findings showed that there was a significant positive correlation between the CLSI interfamily language usage and reported marriage-satisfaction scores. Participants who reported better communication and acculturation in terms of how they communicated as a family (using both English and Persian) also reported higher levels of marital satisfaction. This supported the theory that better communication led to a higher level of marital satisfaction. Results also indicated that Iranian female immigrants also scored higher than Iranian immigrant males in four of the five CLSI categories, which included (a) extra-family language usage, (b) social affiliations and activities, (c) cultural familiarity and activities, and (d) cultural identification and pride. The results support the notion that Iranian immigrant females are more acculturated than their male counterparts. Furthermore, data from this research revealed that the female participants reported significantly higher levels of education than the male participants. Iranian immigrant women actively seek higher education with the hope of providing a better future for themselves. Through this process, they gain exposure to the new culture's values and traditions. Lastly, findings of this research study showed that education correlated with 4 factors of the CLSI. These factors were (a) extra-family language usage, (b) social affiliations and activities, (c) cultural familiarity and activities, and (d) cultural identification and pride. These correlations showed that education was a strong predictor of the level of acculturation in nonfamily situations. Conclusions: The purpose of this study was to provide insight into the bases of the marital struggles experienced by first-generation Iranian American immigrants in the United States. According to findings, the quality and length of Iranian marriages have been affected as a result of immigration and acculturation (Hanassab, 2006). The research showed that Iranian Americans experienced a higher degree of marital discontentment and dissolution compared to their counterparts living in Iran (Azadarmaki &amp; Bahar, 2006). As a way to begin to understand this dynamic, this study examined the relationship between gender differences in acculturation and marital satisfaction among first-generation Iranian American immigrants. The purpose of this… (PsycINFO Database Record (c) 2016 APA, all rights reserved)</t>
  </si>
  <si>
    <t>http://search.ebscohost.com.proxy-ub.rug.nl/login.aspx?direct=true&amp;db=psyh&amp;AN=2015-99080-522&amp;site=ehost-live&amp;scope=site</t>
  </si>
  <si>
    <t>The relationship between perceived social status, stress, and health in Mexican American immigrants.</t>
  </si>
  <si>
    <t>Green, R. Marcus</t>
  </si>
  <si>
    <t>2010-99220-342</t>
  </si>
  <si>
    <t>Health; Immigration; Mexican Americans; Stress; Social Status; Social Structure; Adulthood (18 yrs &amp; older); Young Adulthood (18-29 yrs); Thirties (30-39 yrs); Middle Age (40-64 yrs); Aged (65 yrs &amp; older); Male; Female</t>
  </si>
  <si>
    <t>The current paper examines the relationship between social support, perceived social status and health in the context of the Hispanic Paradox. It was hypothesized that social support will predict perceived social status which, in turn, is an important factor in predicting physical health among Mexican immigrants. The current paper also hypothesized that stress mediates the relationship between perceived social status and health. Three hundred and twenty male and female Mexican immigrants (ages 18-79) completed questionnaires, wore ambulatory blood pressure monitors for 24 hours, and submitted blood samples. Results supported some, but not most hypotheses. Greater social support was related to higher perceived social status ( p = 0.01) and stress mediated two indirect relationships between perceived social status and health outcomes. Specifically, as perceived social status increased calories consumed decreased (p = 0.01) and self-reported health improved (p = 0.02). Still, there were no direct relationships between perceived social status and health outcomes and only two stress mediated relationships. Implications of the results and future directions are addressed. The paper discusses the possibility that higher education and possible variations in degree of acculturation among study participants might have resulted in a unique relationship between perceived social status and health. The paper also addresses the role that a high LDS affiliation among participants might play in the relationship between perceived social status and health of Hispanic immigrants. Finally, the relationship between perceived social status and self-reported health as the study's most consistent finding is discussed. (PsycINFO Database Record (c) 2019 APA, all rights reserved)</t>
  </si>
  <si>
    <t>http://search.ebscohost.com.proxy-ub.rug.nl/login.aspx?direct=true&amp;db=psyh&amp;AN=2010-99220-342&amp;site=ehost-live&amp;scope=site</t>
  </si>
  <si>
    <t>The relationship between quality of life, psychological wellbeing, satisfaction with life and acculturation of immigrants in Greece.</t>
  </si>
  <si>
    <t>Prapas, C.; Mavreas, V.</t>
  </si>
  <si>
    <t>Culture, Medicine, and Psychiatry: An International Journal of Cross-Cultural Health Research</t>
  </si>
  <si>
    <t>2018-40282-001</t>
  </si>
  <si>
    <t>10.1007/s11013-018-9598-3</t>
  </si>
  <si>
    <t>Acculturation; Quality of Life; Foreign Language Translation; Life Satisfaction; Test Construction; Well Being; Adulthood (18 yrs &amp; older); Young Adulthood (18-29 yrs); Thirties (30-39 yrs); Middle Age (40-64 yrs); Male; Female</t>
  </si>
  <si>
    <t>Few studies have examined the quality of life of immigrants in Greece and its relations to acculturation. This study explored the quality of life, psychological wellbeing and satisfaction with life among Albanian immigrants, Pontic Greeks in comparison to native Greeks. Furthermore, the relationship between quality of life, psychological wellbeing, satisfaction with life and acculturation of Albanian immigrants and Pontic Greeks was investigated. The study was based on 520 participants from broader area of Athens, 58.3% (303 people: 150 men and 153 women) native Greeks, 21.9% (114 people: 57 men and 57 women) Albanian immigrants and 19.8% (103 people: 50 men and 53 women) Pontic Greeks. Quality of life was measured by WHOQOL BREF—while wellbeing was measured with Satisfaction With Life Scale and The Affect Balance Scale. An adapted a version of Vancouver Index of Acculturation was used to assess acculturation of immigrants. The findings indicated three important factors contributed to quality of life and wellbeing of immigrants: ethnicity, heritage dimension of acculturation and gender. Albanian immigrants and Pontic Greeks scored lower on quality of life and satisfaction with life than native Greek. (PsycINFO Database Record (c) 2019 APA, all rights reserved)</t>
  </si>
  <si>
    <t>http://search.ebscohost.com.proxy-ub.rug.nl/login.aspx?direct=true&amp;db=psyh&amp;AN=2018-40282-001&amp;site=ehost-live&amp;scope=site</t>
  </si>
  <si>
    <t>The relationship of religious self-identification to cultural adaptation among Iranian immigrants and first generation Iranians.</t>
  </si>
  <si>
    <t>Saghafi, Nazanin</t>
  </si>
  <si>
    <t>2010-99040-102</t>
  </si>
  <si>
    <t>Adaptation; Cross Cultural Differences; Immigration; Self-Perception; Acculturation; Stress; Adulthood (18 yrs &amp; older)</t>
  </si>
  <si>
    <t>This causal-comparative study examined if Iranian or Iranian Americans of either Islamic or Jewish religious self-identifications significantly differ in their reported level of cultural adaptation as evidenced by level of acculturation and the degree of acculturative stress, after controlling for the influence of years of residence in the United States. To conduct this investigation, 107 participants were administered the Cultural Lifestyle Inventory (Mendoza, 1989), which was adapted for use with members of the Iranian culture (Ghaffarian, 1998), and the Kerendi-Kadkhoda Acculturative Stress Scale (Kerendi, 1998). The results of the MANCOVA indicate that religious identification does significantly influence cultural adaptation. Participants who self-identified as Islamic reported significantly higher Iranian orientation of acculturation while participants who self-identified as Jewish reported significantly higher U.S. orientation of acculturation. Furthermore, participants who self-identified as Islamic reported significantly higher resistance based acculturative stress when compared to their Jewish counterparts, although no significant difference was found for immersion based acculturative stress. This study revealed the relevance of considering intra-cultural differences such as religious identification among Iranian immigrants and Iranian Americans. (PsycINFO Database Record (c) 2016 APA, all rights reserved)</t>
  </si>
  <si>
    <t>http://search.ebscohost.com.proxy-ub.rug.nl/login.aspx?direct=true&amp;db=psyh&amp;AN=2010-99040-102&amp;site=ehost-live&amp;scope=site</t>
  </si>
  <si>
    <t>The relationships between religiosity, stress, and mental health for Muslim immigrant youth.</t>
  </si>
  <si>
    <t>2018-20423-001</t>
  </si>
  <si>
    <t>10.1080/13674676.2018.1462781</t>
  </si>
  <si>
    <t>Depression (Emotion); Muslims; Religiosity; Well Being; Adolescence (13-17 yrs); Adulthood (18 yrs &amp; older); Young Adulthood (18-29 yrs); Male; Female</t>
  </si>
  <si>
    <t>Acculturation, or the process of change that takes place as a result of intercultural contact, can cause a range of stressors. The task of managing this acculturative stress is particularly difficult for Muslim immigrants in Western contexts due to the global rise of Islamophobia. Research investigating the experiences of young migrant Muslims has found inconsistent results regarding the moderating influences of religious identity and religious practices on the relationship between stress and mental health. The current study examined whether levels of religiosity interacted with distinct forms of acculturative stress in the prediction of depression and well-being for Muslim youth in New Zealand. Results painted a complex picture of the relationships between religiosity and mental health, finding that greater religiosity is generally positive for youth outcomes, but it also carries the risk lowering levels of mental health through its interactions with acculturative stress. (PsycINFO Database Record (c) 2019 APA, all rights reserved)</t>
  </si>
  <si>
    <t>http://search.ebscohost.com.proxy-ub.rug.nl/login.aspx?direct=true&amp;db=psyh&amp;AN=2018-20423-001&amp;site=ehost-live&amp;scope=site</t>
  </si>
  <si>
    <t>The Relative Contribution of Posttraumatic and Accusative Stress to Subjective Mental Health Among Bosnian Refugees.</t>
  </si>
  <si>
    <t>Knipscheer, Jeroen W.; Kleber, Rolf J.</t>
  </si>
  <si>
    <t>Journal of Clinical Psychology</t>
  </si>
  <si>
    <t>2006-03066-009</t>
  </si>
  <si>
    <t>10.1002/jclp.20233</t>
  </si>
  <si>
    <t>Mental Health; Posttraumatic Stress Disorder; Refugees; Social Adjustment; Stress; Adulthood (18 yrs &amp; older); Young Adulthood (18-29 yrs); Thirties (30-39 yrs); Middle Age (40-64 yrs); Male; Female</t>
  </si>
  <si>
    <t>The relationship between posttraumatic stress reactions, cultural adaptation, and mental health symptoms is still poorly understood. This empirical study examined the relative contribution of both posttraumatic reactions and acculturation rates to subjective mental health in 2 groups of Bosnian refugees, a clinical group (N = 34) and a nonclinical community group (N = 44). As hypothesized, posttraumatic reactions were highly predictive of mental health state in both groups. In addition, two specific acculturation aspects, cultural affiliation and the obtaining of instrumental skills, were significantly related to mental health symptoms. The implications of these findings for mental health professionals working with refugees and other traumatized populations are considered. (PsycINFO Database Record (c) 2016 APA, all rights reserved)</t>
  </si>
  <si>
    <t>http://search.ebscohost.com.proxy-ub.rug.nl/login.aspx?direct=true&amp;db=psyh&amp;AN=2006-03066-009&amp;site=ehost-live&amp;scope=site</t>
  </si>
  <si>
    <t>The religiosity of immigrants in Europe: A cross‐national study.</t>
  </si>
  <si>
    <t>van Tubergen, Frank; Sindradóttir, Jórunn Í.</t>
  </si>
  <si>
    <t>2011-11774-006</t>
  </si>
  <si>
    <t>10.1111/j.1468-5906.2011.01567.x</t>
  </si>
  <si>
    <t>Cross Cultural Differences; Immigration; Religiosity; Social Integration; Adolescence (13-17 yrs); Adulthood (18 yrs &amp; older); Young Adulthood (18-29 yrs); Thirties (30-39 yrs); Middle Age (40-64 yrs); Aged (65 yrs &amp; older); Male; Female</t>
  </si>
  <si>
    <t>This study examines cross-national differences in the religiosity of immigrants in Europe utilizing three different measures of religiosity: religious attendance, praying, and subjective religiosity. Hypotheses are formulated by drawing upon a variety of theories—scientific worldview, insecurity, religious markets, and social integration. The hypotheses are tested using European Social Survey data (2002–2008) from more than 10,000 first-generation immigrants living in 27 receiving countries. Multilevel models show that, on the individual level, religiosity is higher among immigrants who are unemployed, less educated, and who have recently arrived in the host country. On the contextual level, the religiosity of natives positively affects immigrant religiosity. The models explain about 60 percent of the cross-national differences in religious attendance and praying of immigrants and about 20 percent of the cross-national differences in subjective religiosity. (PsycINFO Database Record (c) 2016 APA, all rights reserved)</t>
  </si>
  <si>
    <t>http://search.ebscohost.com.proxy-ub.rug.nl/login.aspx?direct=true&amp;db=psyh&amp;AN=2011-11774-006&amp;site=ehost-live&amp;scope=site</t>
  </si>
  <si>
    <t>The residential segregation patterns of whites by socioeconomic status, 2000–2011.</t>
  </si>
  <si>
    <t>Sharp, Gregory; Iceland, John</t>
  </si>
  <si>
    <t>2013-19046-007</t>
  </si>
  <si>
    <t>10.1016/j.ssresearch.2013.03.007</t>
  </si>
  <si>
    <t>Racial and Ethnic Differences; Social Integration; Socioeconomic Status; Urban Environments; Whites; Ethnic Diversity</t>
  </si>
  <si>
    <t>In light of increasing racial and ethnic diversity, a recent housing crisis, and deep economic recession, arguments pertaining to the role of socioeconomic status (SES) in shaping patterns of racial/ethnic segregation remain salient. Using data from the 2000 decennial census and the 2007–2011 American Community Survey, we provide new evidence on the residential segregation patterns of whites from minorities by SES (income, education, and poverty). Results from our comprehensive analyses indicate that SES matters for the segregation patterns of whites from minorities. In particular, we find that whites as a whole are less segregated from higher-SES minority group members than lower-SES ones. Among whites, those of higher SES are more segregated from blacks and Hispanics as a whole and less segregated from Asians, indicating the importance of SES differentials across racial/ethnic groups in shaping residential patterns. We also find that during the 2000s, white–black segregation remained stable or declined, while whites became more segregated from Hispanics and Asians by all SES indicators. Fixed-effects models indicate that increasing white-minority SES segregation was fueled in part by increases in a metropolitan area’s immigrant and elderly populations, minority poverty rate, and home values, while declining segregation was associated with rising education levels and new housing construction. (PsycInfo Database Record (c) 2020 APA, all rights reserved)</t>
  </si>
  <si>
    <t>http://search.ebscohost.com.proxy-ub.rug.nl/login.aspx?direct=true&amp;db=psyh&amp;AN=2013-19046-007&amp;site=ehost-live&amp;scope=site</t>
  </si>
  <si>
    <t>The risk typology of healthcare access and its association with unmet healthcare needs in Asian Americans.</t>
  </si>
  <si>
    <t>Jang, Yuri; Park, Nan Sook; Yoon, Hyunwoo; Huang, Ya‐Ching; Rhee, Min‐Kyoung; Chiriboga, David A.; Kim, Miyong T.</t>
  </si>
  <si>
    <t>Health &amp; Social Care in the Community</t>
  </si>
  <si>
    <t>2017-26683-001</t>
  </si>
  <si>
    <t>10.1111/hsc.12463</t>
  </si>
  <si>
    <t>Asians; Health Care Delivery; Health Service Needs; Immigration; Risk Factors; Adulthood (18 yrs &amp; older); Young Adulthood (18-29 yrs); Thirties (30-39 yrs); Middle Age (40-64 yrs); Aged (65 yrs &amp; older); Very Old (85 yrs &amp; older); Male; Female</t>
  </si>
  <si>
    <t>Using data from the 2015 Asian American Quality of Life Survey (N = 2,609), latent profile analysis was conducted on general (health insurance, usual place for care and income) and immigrant‐specific (nativity, length of stay in the U.S., English proficiency and acculturation) risk factors of healthcare access. Latent profile analysis identified a three‐cluster model (low‐risk, moderate‐risk and high‐risk groups). Compared with the low‐risk group, the odds of having an unmet healthcare need was 1.52 times greater in the moderate‐risk group and 2.24 times greater in the high‐risk group. Challenging the myth of model minority, the present sample of Asian Americans demonstrates its vulnerability in access to healthcare. Findings also show the heterogeneity in healthcare access risk profiles. (PsycINFO Database Record (c) 2018 APA, all rights reserved)</t>
  </si>
  <si>
    <t>http://search.ebscohost.com.proxy-ub.rug.nl/login.aspx?direct=true&amp;db=psyh&amp;AN=2017-26683-001&amp;site=ehost-live&amp;scope=site</t>
  </si>
  <si>
    <t>The role of acculturation attitudes and social support in anxiety and depression of Indian immigrants in Greece.</t>
  </si>
  <si>
    <t>Kateri, E. V.; Tsouvelas, G.; Karademas, E. C.</t>
  </si>
  <si>
    <t>Psychiatriki</t>
  </si>
  <si>
    <t>2020-26565-004</t>
  </si>
  <si>
    <t>10.22365/jpsych.2019.304.311</t>
  </si>
  <si>
    <t>Hellenic Psychiatric Assn</t>
  </si>
  <si>
    <t>Acculturation; Anxiety; Attitudes; Immigration; Social Support; Depression (Emotion); Adulthood (18 yrs &amp; older); Male; Female</t>
  </si>
  <si>
    <t>In the present study, we examined factors that may impact immigrants’ anxiety and depressive symptoms, focusing on the role of acculturation attitudes and social support. The participants of the present study were first generation Indian immigrants residing in Crete, Greece (N = 114). Our first hypothesis was that Indian immigrants will choose two acculturation attitudes, namely integration and separation, as these may enable them maintain certain aspects of their culture of origin given their distinct differences from Greeks in religion, cultural values, and physical appearance. It was also hypothesized that integration and separation will be positively related to social support. Social support was also expected to mediate the negative relationship of separation and integration to anxiety and depression. Furthermore, social support was expected to act protectively for Indian immigrants who chose integration and separation, minimizing the levels of anxiety and depression (i.e., a moderation effect). Using specific measures for anxiety, depression, social support, and acculturation attitudes, the results showed that Indian immigrants report a greater preference for integration and separation. Separation was the only acculturation attitude positively related to social support and negatively to depression through social support from friends and family. Moreover, higher levels of social support seemed to protected immigrants who choose integration from depression and medium and high levels of social support protected immigrants who choose assimilation from anxiety. These findings indicate that both integration and separation are preferred by Indian immigrants in Greece. Moreover, it seems that in the case of Indian immigrants in Greece, separation could be related to more immigrants’ social support than other acculturation attitudes, ending in turn to less depression symptoms. These findings demonstrate that different acculturation attitudes (i.e. assimilation, integration, separation) may have different effects on disbetinct psychological indices. Moreover, immigrants’ social support is a protecting factor in the relationship between acculturation attitudes to anxiety and depression. The present study suggests that the increase of the immigrants’ social networks could prove helpful for their adaptation to the Greek society. (PsycInfo Database Record (c) 2020 APA, all rights reserved)</t>
  </si>
  <si>
    <t>http://search.ebscohost.com.proxy-ub.rug.nl/login.aspx?direct=true&amp;db=psyh&amp;AN=2020-26565-004&amp;site=ehost-live&amp;scope=site</t>
  </si>
  <si>
    <t>The role of acculturation in health status and utilization of health services among the Iranian elderly in metropolitan Sydney.</t>
  </si>
  <si>
    <t>Alizadeh-Khoei, Mahtab; Mathews, R. Mark; Hossain, S. Zakia</t>
  </si>
  <si>
    <t>2011-27026-006</t>
  </si>
  <si>
    <t>10.1007/s10823-011-9152-z</t>
  </si>
  <si>
    <t>Acculturation; Aging; Health Care Utilization; Immigration; Well Being; Urban Environments; Adulthood (18 yrs &amp; older); Aged (65 yrs &amp; older); Male; Female</t>
  </si>
  <si>
    <t>The present study explores the impact of acculturation on health status and use of health and community aged care services among elderly Iranian-born immigrants to Australia. Three hundred two Iranian immigrants aged 65 years and over who had lived in the Sydney Metropolitan area for at least six months participated. Data were collected using a written survey instrument, face-to-face interviews, and telephone interviews. Iranian immigrants had higher levels of psychological distress, more limited physical function, greater need for help or assistance with activities of daily living, lower feelings of wellbeing, and were much less likely to use aged care services than the general population of older Australians. Participants who did not speak English at home were more likely to experience psychological distress and had greater limitations in their physical functioning. Elderly Iranians with better English proficiency had lower levels of anxiety and depressive symptoms and reported less need for help and supervision in activities of daily living; they were also more likely to access health care services. Elderly Iranian immigrants experience higher levels of psychological distress and lower levels of physical function than the general population of older Australians; those with limited proficiency in English are at greatest risk. These findings contribute to the enrichment of multicultural policy, social fairness, access, and equity for ethnic aged people. (PsycINFO Database Record (c) 2016 APA, all rights reserved)</t>
  </si>
  <si>
    <t>http://search.ebscohost.com.proxy-ub.rug.nl/login.aspx?direct=true&amp;db=psyh&amp;AN=2011-27026-006&amp;site=ehost-live&amp;scope=site</t>
  </si>
  <si>
    <t>The role of acculturation in reading a second language: Its relation to English literacy skills in immigrant Chinese adolescents.</t>
  </si>
  <si>
    <t>Jia, Fanli; Gottardo, Alexandra; Koh, Poh Wee; Chen, Xi; Pasquarella, Adrian</t>
  </si>
  <si>
    <t>Reading Research Quarterly</t>
  </si>
  <si>
    <t>2014-11607-006</t>
  </si>
  <si>
    <t>Acculturation; Immigration; Literacy; Reading; Chinese Cultural Groups; English as Second Language; Skill Learning; Verbal Fluency; Childhood (birth-12 yrs); School Age (6-12 yrs); Adolescence (13-17 yrs); Male; Female</t>
  </si>
  <si>
    <t>The main purpose of this study was to bridge the gap between the literature on cognitive variables related to English literacy learning skills, as suggested by the simple view of reading, and the literature on sociocultural variables, specifically acculturation. The sample consisted of 94 Chinese immigrant adolescents from grades 7–12 in Waterloo Region in and the metropolitan Toronto area of Ontario, Canada. Acculturation was measured by a questionnaire. Literacy skills, including vocabulary, reading fluency, and reading comprehension, were assessed individually using standardized tests. Hierarchical regression analyses reveal that degrees of acculturation to Canadian culture positively predicted English literacy skills after controlling for length of residence in Canada. Interestingly, acculturation explained unique variance in reading beyond variables in the simple view of reading, suggesting the independent contribution of sociocultural factors to second‐language reading in adolescent English learners. (PsycINFO Database Record (c) 2016 APA, all rights reserved)</t>
  </si>
  <si>
    <t>http://search.ebscohost.com.proxy-ub.rug.nl/login.aspx?direct=true&amp;db=psyh&amp;AN=2014-11607-006&amp;site=ehost-live&amp;scope=site</t>
  </si>
  <si>
    <t>The role of acculturation on sense of fairness of the division of family labor and marital quality among Brazilian immigrants in the U. S.</t>
  </si>
  <si>
    <t>Lima, Maria Cristina F.</t>
  </si>
  <si>
    <t>2013-99210-473</t>
  </si>
  <si>
    <t>Acculturation; Division of Labor; Immigration; Marital Relations; Fairness; Adulthood (18 yrs &amp; older); Female</t>
  </si>
  <si>
    <t>Over 1 million people are admitted into the United States each year with the status of legal permanent residents. Brazilian immigrants in the US are a relatively small population; however, their numbers are growing to approximately 800,000 to 1 million. Among immigrant couples, partners may acculturate using different attitudes and at different paces. Also, acculturation involves changes in many domains, including the perceptions of fairness in the division of family labor, which may have implications for marital quality. The current study aimed to evaluate the relationships among acculturation, sense of fairness of the division of family labor, and marital quality among Brazilian immigrants in the US. An additional purpose of this study was to address this growing and yet under studied population. Results suggest that there is a significant relationship between sense of fairness of the division of family labor and marital quality among Brazilian immigrant married women, in that perceptions of unfairness in the division of labor contribute to decrease marital quality. However, the associations involving acculturation were not confirmed. There are two possible explanations for these non-significant findings. First, it is possible that Brazilian women are more similar to their American counterparts in regards to sense of fairness than previously thought. Therefore, being more or less acculturated would not be predictive of sense of fairness among this particular sample. Second, the findings of the current study also point to the need to look more closely at the instrumentation used to measure acculturation, to review its concept and indicators. It is recommended that instruments measuring acculturation among Brazilian immigrants should be specifically designed to address the uniqueness of this specific population. In addition, acculturation measure should be updated to assess the possibility that remote acculturation may occur by mean of mass communication between geographically separated groups. It is important for counselors who work with Brazilian immigrant couples to be knowledgeable of the demographic realities these couples face (e.g., decreased career mobility and lower rates of domestic help), as well as marital dynamics involving partners sense of fairness with changing expectations of the division of family labor and marital quality. (PsycINFO Database Record (c) 2016 APA, all rights reserved)</t>
  </si>
  <si>
    <t>http://search.ebscohost.com.proxy-ub.rug.nl/login.aspx?direct=true&amp;db=psyh&amp;AN=2013-99210-473&amp;site=ehost-live&amp;scope=site</t>
  </si>
  <si>
    <t>The role of acculturative stress and cultural backgrounds in migrants with pathological gambling.</t>
  </si>
  <si>
    <t>Jacoby, Noémie; von Lersner, Ulrike; Schubert, Hella J.; Loeffler, Gerit; Heinz, Andreas; Mörsen, Chantal P.</t>
  </si>
  <si>
    <t>International Gambling Studies</t>
  </si>
  <si>
    <t>2013-28196-007</t>
  </si>
  <si>
    <t>10.1080/14459795.2013.777971</t>
  </si>
  <si>
    <t>Acculturation; Cross Cultural Differences; Human Migration; Stress; Gambling Disorder; Craving; Family Background; Motivation; Risk Factors; Adulthood (18 yrs &amp; older); Male; Female</t>
  </si>
  <si>
    <t>The objective of the present study was to differentiate specific migration-related factors that can account for an increased vulnerability to pathological gambling (PG) among migrants in Germany. One hundred and six gamblers (61 migrants, 45 Germans) with varying degrees of gambling problems participated in the study. We analysed (1) differences between migrants and Germans regarding gambling patterns, severity of gambling problems, motivation and craving; influence of (2) acculturative stress; (3) acceptance and popularity of gambling in the culture of origin on gambling problems; (4) differences between migrants and Germans regarding family gambling and peer gambling; and (5) differences in religiosity and its influence on gambling problems. Results suggest no differences between migrants and Germans regarding gambling patterns and the severity of gambling problems. However, findings indicate that migrants have higher motivation and craving to gamble. Findings further suggest that acculturative stress is associated with more severe gambling problems. In contrast, acceptance and popularity of gambling in the country of origin was not a significant predictor of gambling problems. At the same time, family gambling and peer gambling was significantly more prevalent among migrants, constituting an additional risk factor in the present sample. On the other hand, migrants in the sample benefit more often from a protective influence of religiosity. (PsycINFO Database Record (c) 2019 APA, all rights reserved)</t>
  </si>
  <si>
    <t>http://search.ebscohost.com.proxy-ub.rug.nl/login.aspx?direct=true&amp;db=psyh&amp;AN=2013-28196-007&amp;site=ehost-live&amp;scope=site</t>
  </si>
  <si>
    <t>The role of acculturative stress factors on mental health and help-seeking behavior of sub-Saharan African immigrants.</t>
  </si>
  <si>
    <t>Orjiako, Ola-Edo Yvonne; So, Dominicus</t>
  </si>
  <si>
    <t>2014-24435-008</t>
  </si>
  <si>
    <t>10.1080/17542863.2013.797004</t>
  </si>
  <si>
    <t>Acculturation; Help Seeking Behavior; Immigration; Mental Health; Stress; Family Relations; Sociocultural Factors; Adulthood (18 yrs &amp; older); Young Adulthood (18-29 yrs); Thirties (30-39 yrs); Middle Age (40-64 yrs); Aged (65 yrs &amp; older); Male; Female</t>
  </si>
  <si>
    <t>African immigrants to the United States are largely increasing in number. However, African immigrants' psychological health and help-seeking behavior remain understudied. J.W. Berry's acculturation theories suggest that immigrants' mental health can be negatively affected by their experience of biological and psychosocial difficulties related to acculturation. Data from a nationally representative study, the New Immigrant Survey, was utilized to examine how acculturation stress factors can predict depressive symptoms in a sub-Saharan African sample of 669 adults. The collectivistic nature of African culture suggests that family support is a critical element in the acculturation process, but family support was not found to be a predictor of help-seeking behavior. Results indicated that when birth country was controlled for, proficient English language skills and higher education level were predictive of increased help-seeking behavior. Additionally, English language proficiency was negatively associated with depressive symptoms. Findings suggest that proficiency in host country's language serves as a protective factor against depressive symptoms, and English proficiency and higher educational attainment predict greater use of support systems in African immigrants. (PsycINFO Database Record (c) 2016 APA, all rights reserved)</t>
  </si>
  <si>
    <t>http://search.ebscohost.com.proxy-ub.rug.nl/login.aspx?direct=true&amp;db=psyh&amp;AN=2014-24435-008&amp;site=ehost-live&amp;scope=site</t>
  </si>
  <si>
    <t>The role of collective self-esteem on anxious-depressed symptoms for Asian and Latino children of immigrants.</t>
  </si>
  <si>
    <t>Gupta, Taveeshi; Rogers-Sirin, Lauren; Okazaki, Sumie; Ryce, Patrice; Sirin, Selcuk R.</t>
  </si>
  <si>
    <t>2014-14452-005</t>
  </si>
  <si>
    <t>10.1037/a0035022</t>
  </si>
  <si>
    <t>Asians; Collective Behavior; Immigration; Self-Esteem; Latinos/Latinas; Anxiety; Ethnic Identity; Major Depression; Social Identity; Symptoms; Adolescence (13-17 yrs)</t>
  </si>
  <si>
    <t>We conducted a 3-wave, longitudinal study to examine the role of ethnic collective self-esteem and United States (U.S.) collective self-esteem on anxious-depressed symptoms over time among Asian and Latino immigrant-origin adolescents (n = 171). Growth curve analysis revealed that anxious-depressed symptoms first decreased between 10th and 11th grade and then increased over time for both groups. Additionally higher levels of ethnic collective self-esteem were associated with lower levels of anxious-depressed symptoms only for Asian adolescents. There was a differing pattern for U.S. collective self-esteem such that for Latino adolescents, higher U.S. collective self-esteem was associated with higher anxious-depressed symptoms, whereas for Asian adolescents there was an inverse relationship with anxious-depressed symptoms. The results expand the literature on ethnic and U.S. collective self-esteem and their link to mental health. Implications of the findings for research in general, and for counseling immigrant youth and families in particular, are discussed. (PsycINFO Database Record (c) 2016 APA, all rights reserved)</t>
  </si>
  <si>
    <t>http://search.ebscohost.com.proxy-ub.rug.nl/login.aspx?direct=true&amp;db=psyh&amp;AN=2014-14452-005&amp;site=ehost-live&amp;scope=site</t>
  </si>
  <si>
    <t>The role of dialectical self and bicultural identity integration in psychological adjustment.</t>
  </si>
  <si>
    <t>Chen, Sylvia Xiaohua; Benet‐Martínez, Verónica; Wu, Wesley C. H.; Lam, Ben C. P.; Bond, Michael Harris</t>
  </si>
  <si>
    <t>Journal of Personality</t>
  </si>
  <si>
    <t>2013-02273-006</t>
  </si>
  <si>
    <t>10.1111/j.1467-6494.2012.00791.x</t>
  </si>
  <si>
    <t>Acculturation; Dialect; Emotional Adjustment; Well Being; Multiculturalism; Self-Concept; Cultural Identity; Adulthood (18 yrs &amp; older); Young Adulthood (18-29 yrs); Male; Female</t>
  </si>
  <si>
    <t>Objective: We applied the concept of naïve dialecticism (Peng &amp; Nisbett, ), which characterizes East Asians' greater tendency to encompass contradictory, ever-changing, and interrelated features of an entity, to bicultural contexts and examined its effects on psychological well-being across various acculturating groups. Method: We administered questionnaire measures of the dialectical self, bicultural identity integration (BII; Benet-Martínez &amp; Haritatos, 2005), and well-being to Hong Kong Chinese (N = 213) in Study 1 and Mainland Chinese (N = 239) in Study 2. In Study 3, a 4-week longitudinal study was conducted among Hong Kong Chinese (N = 173) to test the relationships of these variables over time. We then extended similar measures to new immigrants from Mainland China (N = 67) in Study 4 and Filipino domestic workers in Hong Kong (N = 153) in Study 5. Results: Five studies converged to show that psychological adjustment was positively related to BII, but negatively related to the dialectical self. In Studies 1-3, dialecticism mediated the effect of BII on psychological adjustment among Hong Kong and Mainland Chinese bicultural individuals. Conclusions: Our findings reveal the deleterious effects of tolerance for contradiction on well-being and differentiate biculturalism patterns of immigration-based and globalization-based acculturation. (PsycInfo Database Record (c) 2020 APA, all rights reserved)</t>
  </si>
  <si>
    <t>http://search.ebscohost.com.proxy-ub.rug.nl/login.aspx?direct=true&amp;db=psyh&amp;AN=2013-02273-006&amp;site=ehost-live&amp;scope=site</t>
  </si>
  <si>
    <t>The role of economic stress and coping resources in predicting hwabyung symptoms.</t>
  </si>
  <si>
    <t>2018-31811-001</t>
  </si>
  <si>
    <t>10.1007/s10597-018-0293-1</t>
  </si>
  <si>
    <t>Acculturation; Coping Behavior; Financial Strain; Immigration; Self-Esteem; Korean Cultural Groups; Social Support; Symptoms; Adulthood (18 yrs &amp; older); Thirties (30-39 yrs); Middle Age (40-64 yrs); Male; Female</t>
  </si>
  <si>
    <t>This article reports the findings from a study that examined the role of economic stress and coping resources in predicting hwabyung symptoms among Koreans in the United States. The literal meaning of hwabyung is 'fire illness' or 'anger illness.' Koreans believe that chronic stress can cause the onset of hwabyung, manifested mainly through somatic symptoms. Data collected from an anonymous survey of 242 voluntary participants were analyzed using hierarchical multiple regression (R²). The findings demonstrated the important role that social support and sense of self-esteem play in explaining hwabyung symptoms. Also, the graduate education attained in the United States appears to play positive role in reducing the hwabyung symptoms, while being a woman can increase their vulnerability to this indigenous psychiatric illness to Korean people. Based on the findings, the implications for practice and suggestions for future study are discussed. (PsycInfo Database Record (c) 2020 APA, all rights reserved)</t>
  </si>
  <si>
    <t>http://search.ebscohost.com.proxy-ub.rug.nl/login.aspx?direct=true&amp;db=psyh&amp;AN=2018-31811-001&amp;site=ehost-live&amp;scope=site</t>
  </si>
  <si>
    <t>The role of family obligations and school adjustment in explaining the immigrant paradox.</t>
  </si>
  <si>
    <t>van Geel, Mitch; Vedder, Paul</t>
  </si>
  <si>
    <t>2011-00616-005</t>
  </si>
  <si>
    <t>10.1007/s10964-009-9468-y</t>
  </si>
  <si>
    <t>Adaptation; Adolescent Attitudes; Family; Immigration; School Adjustment; Adolescence (13-17 yrs); Male; Female</t>
  </si>
  <si>
    <t>This study examined the role of family obligations and school adjustment in explaining immigrant adolescents' adaptation. Despite a relatively low socio-economic status, immigrant adolescents have been found to have a pattern of adaptation superior to that of national adolescents. Immigrant adolescents' strong sense of family obligations and positive school adjustment have been used to explain these positive adaptation outcomes. Using self-reports in a sample of 277 national adolescents (45.5% female) and a sample of 175 non-western immigrant adolescents (58.9% female), both samples with a mean age of 15 years, it was found that despite a lower socio-economic status, the adaptation of immigrant adolescents was as good as the nationals' adaptation. Immigrant adolescents scored higher on family obligations and school adjustment. Family obligations and school adjustment were found positively related to adaptation outcomes in the national and the immigrant adolescent sample. Findings suggest that, in underprivileged environments, a strong sense of family obligations may help immigrants as well as national adolescents achieve a positive pattern of adaptation. (PsycINFO Database Record (c) 2016 APA, all rights reserved)</t>
  </si>
  <si>
    <t>http://search.ebscohost.com.proxy-ub.rug.nl/login.aspx?direct=true&amp;db=psyh&amp;AN=2011-00616-005&amp;site=ehost-live&amp;scope=site</t>
  </si>
  <si>
    <t>The role of guilt and ethnic identity in acculturation and emotional well-being among Israeli immigrants in the U.S.</t>
  </si>
  <si>
    <t>Wassermann, Yifat</t>
  </si>
  <si>
    <t>2013-99020-065</t>
  </si>
  <si>
    <t>Acculturation; Ethnic Identity; Guilt; Immigration; Cross Cultural Differences; Emotional Adjustment; Well Being; Adulthood (18 yrs &amp; older)</t>
  </si>
  <si>
    <t>The present study examined the roles of guilt and ethnic identity in acculturation and adaptation among 97 Israeli immigrants residing in the U.S. A guilt measure, constructed for this study, revealed five factors associated with guilt for leaving the home country. Bi-dimensional scales, measuring identity and acculturation in the context of ethnic and host cultures, were used and multiple regression analyses were employed to test the association of these measures with immigrants' emotional well-being and satisfaction with immigration. In support of this study's hypotheses, results indicate that most Israeli immigrants present with strong ethnic identity that fits the 'separation' strategy as suggested by the bi-dimensional model (Berry, 1990). In support of previous studies, integrated strategy was associated with greater satisfaction with immigration as compared with separated strategy. Contrary to previous studies, integrated strategy was not associated with emotional well-being when compared to separated strategy. Guilt for leaving the home country was found to be negatively associated with American acculturation, adaptation, and plans to re-emigrate to Israel, and positively associated with level of involvement in ethnic practices. Ethnic identity and level of involvement in ethnic practices were found to moderate the association between American acculturation and adaptation. Findings suggest that Israeli immigrants present with unique challenges in their acculturation process that affect their adaptation to life in the U.S. Specifically, their strong ethnic identity, high level of involvement in ethnic practices, and experiences of guilt for leaving their home country, interfere with their ability to integrate their ethnic and host identities and cultural practices, thus compromising their adaptation to life in the U.S. Findings are further discussed in the context of the bi-dimensional model (Berry, 1990). It is recommended that future studies differentiate between emotional well-being and satisfaction with immigration as separate measures of adaptation. Cross-cultural studies comparing the unique acculturation challenges of different ethnic groups and their experiences of guilt are also recommended. (PsycINFO Database Record (c) 2016 APA, all rights reserved)</t>
  </si>
  <si>
    <t>http://search.ebscohost.com.proxy-ub.rug.nl/login.aspx?direct=true&amp;db=psyh&amp;AN=2013-99020-065&amp;site=ehost-live&amp;scope=site</t>
  </si>
  <si>
    <t>The role of intergroup permeability on Chinese migrant children's social integration.</t>
  </si>
  <si>
    <t>Hao, Zhen; Cui, Lijuan</t>
  </si>
  <si>
    <t>Social Behavior and Personality: An International Journal</t>
  </si>
  <si>
    <t>2015-13194-010</t>
  </si>
  <si>
    <t>10.2224/sbp.2015.43.2.303</t>
  </si>
  <si>
    <t>Society for Personality Research</t>
  </si>
  <si>
    <t>Childhood Development; Human Migration; Intergroup Dynamics; Roles; Social Integration; Risk Factors; Childhood (birth-12 yrs); School Age (6-12 yrs); Adolescence (13-17 yrs); Male; Female</t>
  </si>
  <si>
    <t>We used structural equation modeling to examine the influencing factors and mediating mechanism in the process of migrant children’s social integration. Participants were 437 migrant children in Shanghai. The results showed that as a risk factor, perceived discrimination had a significant negative effect on the migrant children’s social integration. Intergroup permeability had a mediation effect in the relationship between migrant children’s perceived discrimination and social integration. Self-esteem moderated the mediation effect of intergroup permeability, and the strength of this mediation impact increased as the level of self-esteem did. Thus, intergroup permeability had a moderating mediation effect on the social integration of migrant children. (PsycINFO Database Record (c) 2018 APA, all rights reserved)</t>
  </si>
  <si>
    <t>http://search.ebscohost.com.proxy-ub.rug.nl/login.aspx?direct=true&amp;db=psyh&amp;AN=2015-13194-010&amp;site=ehost-live&amp;scope=site</t>
  </si>
  <si>
    <t>The role of majority attitudes towards out-group in the perception of the acculturation strategies of immigrants.</t>
  </si>
  <si>
    <t>Kosic, Ankica; Mannetti, Lucia; Sam, David Lackland</t>
  </si>
  <si>
    <t>2005-10401-002</t>
  </si>
  <si>
    <t>10.1016/j.ijintrel.2005.06.004</t>
  </si>
  <si>
    <t>Acculturation; Attitudes; Immigration; Ingroup Outgroup; Prejudice; Ethnic Identity; Adulthood (18 yrs &amp; older); Young Adulthood (18-29 yrs); Thirties (30-39 yrs); Middle Age (40-64 yrs); Aged (65 yrs &amp; older); Male; Female</t>
  </si>
  <si>
    <t>The aim of this study was to examine host group members 'towards immigrants' acculturation strategy preferences and the relationship between these attitudes and the level of prejudice towards immigrants. A questionnaire containing different prejudice scales was administered to 160 Italian participants living in Rome. In addition respondents were presented with vignettes depicting different acculturation strategies: Assimilation, Integration, Separation, or Marginalization. Respondents received a vignette each describing only one acculturation strategy. Results showed that prejudice towards immigrants affected the evaluation of acculturation strategies. The more prejudice the respondent was, the more negative was his or her attitude towards Separation and Marginalization and the more positive was his or her attitude towards Assimilation. (PsycINFO Database Record (c) 2016 APA, all rights reserved)</t>
  </si>
  <si>
    <t>http://search.ebscohost.com.proxy-ub.rug.nl/login.aspx?direct=true&amp;db=psyh&amp;AN=2005-10401-002&amp;site=ehost-live&amp;scope=site</t>
  </si>
  <si>
    <t>The role of perceived cultural distance in the acculturation of exchange students in Russia.</t>
  </si>
  <si>
    <t>Galchenko, Irina; van de Vijver, Fons J. R.</t>
  </si>
  <si>
    <t>2007-01250-003</t>
  </si>
  <si>
    <t>10.1016/j.ijintrel.2006.03.004</t>
  </si>
  <si>
    <t>Acculturation; Emotional Adjustment; Immigration; Social Adjustment; International Students; Adulthood (18 yrs &amp; older); Male; Female</t>
  </si>
  <si>
    <t>This study is the first to address processes of psychological acculturation by exchange students in Russia. Using a sample of 168 exchange students in Moscow from China, North Korea, and countries in sub-Saharan Africa and in the former Soviet Union, the hypothesis was confirmed that a larger perceived cultural distance between mainstream and immigrant culture is associated with less psychological and sociocultural adaptation. The Chinese and North-Korean group reported to experience the largest perceived cultural distance and the lowest levels of adjustment, while the groups from the former USSR and (to a slightly lesser extent) Africa reported the smallest perceived cultural distance and the highest levels of adjustment. The results of a stepwise regression analysis showed that antecedent variables (perceived cultural distance, home and host domain resources, and personality) showed somewhat stronger associations with outcome variables (self-esteem, stress, and behavior in the home and the host domain) than did intervening variables (acculturation attitudes and coping). (PsycINFO Database Record (c) 2016 APA, all rights reserved)</t>
  </si>
  <si>
    <t>http://search.ebscohost.com.proxy-ub.rug.nl/login.aspx?direct=true&amp;db=psyh&amp;AN=2007-01250-003&amp;site=ehost-live&amp;scope=site</t>
  </si>
  <si>
    <t>The role of social support and acculturative stress in health-related quality of life among day laborers in northern San Diego.</t>
  </si>
  <si>
    <t>Salgado, Hugo; Castañeda, Sheila F.; Talavera, Gregory A.; Lindsay, Suzanne P.</t>
  </si>
  <si>
    <t>2012-11587-003</t>
  </si>
  <si>
    <t>10.1007/s10903-011-9568-0</t>
  </si>
  <si>
    <t>Acculturation; Health Promotion; Quality of Life; Social Support; Stress; Health Related Quality of Life; Adulthood (18 yrs &amp; older); Young Adulthood (18-29 yrs); Thirties (30-39 yrs); Middle Age (40-64 yrs); Male</t>
  </si>
  <si>
    <t>There is evidence to suggest that Latino day laborers experience higher levels of acculturative stress than Latinos in employment sectors in the US. Given the stress-buffering role that social support plays in minimizing the negative physical and mental health outcomes of stress, this study examined this relationship in a sample of 70 Latino Day laborers in the northern San Diego area (100% male, mean age = 27.7, SD = 9.1). Results from multivariate regression analyses showed that there was a significant interaction effect between social support and acculturative stress (P = 0.025) on physical health, indicating that higher levels of social support buffered the negative effects of acculturative stress on physical health. Acculturative stress and social support were not associated with mental health status. Overall, these findings suggest that fostering social support may be an essential strategy for promoting health among Latino male day laborers. (PsycINFO Database Record (c) 2019 APA, all rights reserved)</t>
  </si>
  <si>
    <t>http://search.ebscohost.com.proxy-ub.rug.nl/login.aspx?direct=true&amp;db=psyh&amp;AN=2012-11587-003&amp;site=ehost-live&amp;scope=site</t>
  </si>
  <si>
    <t>The role of social support and social networks in health information seeking behavior among Korean Americans.</t>
  </si>
  <si>
    <t>Kim, Wonsun</t>
  </si>
  <si>
    <t>2014-99090-040</t>
  </si>
  <si>
    <t>Health Education; Social Networks; Social Support; Health Disparities; Health Information; Information Seeking; Internet</t>
  </si>
  <si>
    <t>Access to health information appears to be a crucial piece of the racial and ethnic health disparities puzzle among immigrants. There are a growing number of scholars who are investigating the role of social networks that have shown that the number and even types of social networks among minorities and lower income groups differ (Chatman,1991; Ball, Warheit, Vandiver, &amp; Holzer, 1980; Glass, Mendes De Leon, Seeman, &amp;Berkman, 1997; Palmore, 1981; Kaugh 1999). Very few scholars, however, have examined the use of social support in social networks to retrieve health information. In particular, no extant studies examine both availability of social support and social networks and health information seeking behaviors for Korean immigrants (first generation). This dissertation examined the influences of social support networks on health information seeking behaviors to increase understanding about the important influences of social networks on health information seeking by immigrants, especially the use of the Internet for health information. More specifically, this study will investigate the effects of (a) demographic factors including age, gender, acculturation, (b) perceived social support, and (c) social networks on online health information seeking behaviors among Korean immigrants. Health information seeking behaviors are examined in these four areas: (1) different health information sources from social networks, (2) topics of health information from social networks, (3) online health information seeking behaviors. An intramethod approach (Johnson &amp; Turner, 2003) utilizing both qualitative and quantitative approaches was used to provide both specificity of response (with closed-ended questions) and depth of response (with open-ended questions). An online survey was administered to 205 Korean American men and women aged 18-49 who identified themselves as first generation Korean American immigrants (e.g., foreign-born Korean immigrants refer to those individuals who have emigrated from Korea to the United States). The open-ended questions explored the importance of social support and social networks in health information seeking behavior for Korean Americans. The survey data expanded knowledge about the relationships between social support, social networks, and health information seeking behaviors, in particular online health information seeking. The results from the qualitative data were collected to add to existing literature in health communication by demonstrating why social support and social networks are important for immigrants. These findings also intended to extend current research on health information seeking behaviors and social support to the Korean immigrant population in the U.S. The results from the survey capture how the availability of social support and the size of social networks can influence health information seeking behaviors. The findings from this current study enhance the utility of SNT as a theory, as well as our understanding of health communication for immigrants. SNT was applied here for the first time in a health communication study of Korean immigrants' health information seeking behaviors. The results demonstrated how social networks function as sources of heath information for Korean Americans within the SNT framework. Hence, the utility of this theory was expanded to include health disparities and immigrant contexts. In addition, for health care practitioners and public policy makers, this study provides empirical evidence about the unique use of online health information and social network members as health information sources among Korean Americans. As this study's results suggest, in-group online communities can be effective channels for disseminating important health information targeting Korean Americans. The results of this study present useful suggestions for health care providers in offering culturally and linguistically approp… (PsycINFO Database Record (c) 2019 APA, all rights reserved)</t>
  </si>
  <si>
    <t>http://search.ebscohost.com.proxy-ub.rug.nl/login.aspx?direct=true&amp;db=psyh&amp;AN=2014-99090-040&amp;site=ehost-live&amp;scope=site</t>
  </si>
  <si>
    <t>The role of social support for Korean American immigrants.</t>
  </si>
  <si>
    <t>Lee, Sara Jihyun</t>
  </si>
  <si>
    <t>2018-34221-196</t>
  </si>
  <si>
    <t>Acculturation; Family Relations; Immigration; Korean Cultural Groups; Social Support; Male; Female</t>
  </si>
  <si>
    <t>The United State population is going through a shift in the racial and ethnic compositions. The U.S. will become a 'majority-minority' nation starting in 2044 (U.S. Census, 2015). Koreans were estimated to be the fifth largest Asian population in the U.S. (U.S. Census Bureau, 2016). The purpose of the study was to investigate the relations among acculturative stress, family satisfaction, and social support of the Korean immigrants of the U.S. The sample consisted of 265 Korean participants, wherein 34.7% of the participants completed the survey in English, and 65.3% in Korean. There were 49.8% male participants and 50.2% female participants. Years of living in the U.S. was a significant and positive predictor of acculturative stress, and social support was the strongest predictor of acculturative stress and it was negatively associated with acculturative stress. Acculturative stress and social support were significant predictors of family satisfaction. However, social support did not moderate the effect of acculturative stress on family satisfaction. Familial stress factor had the strongest negative relationship with family satisfaction. There was no significant difference between males and females in regards to the levels of acculturative stress, family satisfaction, and social support. Marriage and family therapists should consider how acculturative stress and immigration history affect their clients' family satisfaction and mental health. Future studies can develop a measurement that applies to Korean American population instead of using a pre-existing measurement that was translated into Korean. (PsycINFO Database Record (c) 2018 APA, all rights reserved)</t>
  </si>
  <si>
    <t>http://search.ebscohost.com.proxy-ub.rug.nl/login.aspx?direct=true&amp;db=psyh&amp;AN=2018-34221-196&amp;site=ehost-live&amp;scope=site</t>
  </si>
  <si>
    <t>The role of sociocultural context for culture competence and depressive symptoms among ethnic minority youths in junior high school.</t>
  </si>
  <si>
    <t>Dalhaug, Kristina Caroline; Oppedal, Brit; Røysamb, Espen</t>
  </si>
  <si>
    <t>European Journal of Developmental Psychology</t>
  </si>
  <si>
    <t>2011-08455-002</t>
  </si>
  <si>
    <t>10.1080/17405621003710843</t>
  </si>
  <si>
    <t>Competence; Major Depression; Minority Groups; School Environment; Sociocultural Factors; Acculturation; Cultural Sensitivity; Junior High Schools; Racial and Ethnic Groups; Symptoms; Adolescence (13-17 yrs); Male; Female</t>
  </si>
  <si>
    <t>The aim of the study was to examine whether school sociocultural context affects culture competence and its relationship to depressive symptoms. As part of the Youth, Culture and Competence study conducted in the Norwegian Institute of Public Health, questionnaire data was collected from 373 immigrant students in two junior high schools within Oslo. The school contexts were represented in terms of proportion of ethnic minority students, 90% versus 60% referred to as the concentrated and balanced context, respectively. Results showed a relatively low level of depressive symptoms and high level of ethnic and host culture competence regardless of context. Ethnic culture competence showed an inverse relationship to depression in both contexts. Host culture competence was also negatively correlated with depression, but only in the balanced context. In the concentrated context this correlation was unsubstantial. Thus, the sociocultural context was found to moderate this correlation. (PsycINFO Database Record (c) 2016 APA, all rights reserved)</t>
  </si>
  <si>
    <t>http://search.ebscohost.com.proxy-ub.rug.nl/login.aspx?direct=true&amp;db=psyh&amp;AN=2011-08455-002&amp;site=ehost-live&amp;scope=site</t>
  </si>
  <si>
    <t>The Satisfaction with Job Life Scale among immigrants.</t>
  </si>
  <si>
    <t>Neto, Félix; Fonseca, Ana Cristina Menezes</t>
  </si>
  <si>
    <t>Psychological Studies</t>
  </si>
  <si>
    <t>2018-23569-001</t>
  </si>
  <si>
    <t>10.1007/s12646-018-0449-7</t>
  </si>
  <si>
    <t>Human Migration; Job Satisfaction; Life Satisfaction; Psychometrics; Well Being; Immigration; Test Construction; Test Reliability; Test Validity; Adulthood (18 yrs &amp; older); Young Adulthood (18-29 yrs); Thirties (30-39 yrs); Middle Age (40-64 yrs); Aged (65 yrs &amp; older); Male; Female</t>
  </si>
  <si>
    <t>This article reports the development of a short multi-item measurement scale of satisfaction with job life (SWJLS). This scale evaluates a person’s global assessment of job satisfaction. Two studies are presented for the purpose of establishing the reliability and validity of the SWJLS. The data were gathered among immigrants. The findings of both studies demonstrated that the SWJLS presents adequate psychometric properties. Exploratory and confirmatory factor analyses of the SWJLS evidenced a single underlying dimension. The reliability was highly satisfactory. Corroboration of validity was also yielded between correlations among indicators of well-being and acculturation, and scale scores. The results indicate that the SWJLS is a short and viable instrument to measure job life satisfaction. (PsycInfo Database Record (c) 2020 APA, all rights reserved)</t>
  </si>
  <si>
    <t>http://search.ebscohost.com.proxy-ub.rug.nl/login.aspx?direct=true&amp;db=psyh&amp;AN=2018-23569-001&amp;site=ehost-live&amp;scope=site</t>
  </si>
  <si>
    <t>The Satisfaction with Migration Life Scale.</t>
  </si>
  <si>
    <t>2016-42418-006</t>
  </si>
  <si>
    <t>10.1016/j.ijintrel.2016.07.004</t>
  </si>
  <si>
    <t>Human Migration; Psychometrics; Rating Scales; Test Reliability; Test Validity; Measurement; Satisfaction; Well Being; Adulthood (18 yrs &amp; older); Young Adulthood (18-29 yrs); Thirties (30-39 yrs); Middle Age (40-64 yrs); Aged (65 yrs &amp; older); Male; Female</t>
  </si>
  <si>
    <t>This article introduces the Satisfaction With Migration Life Scale (SWMLS) which was devised to evaluate a person’s global judgment of migration satisfaction, and reports data from two studies establishing its reliability and validity. Data were collected from Portuguese migrants living in Switzerland via paper-pencil and online questionnaires. The results from the two studies showed that the SWMLS has favorable psychometric characteristics. Exploratory and confirmatory factor analyses of the SWMLS resulted in a unidimensional factor structure. Cronbach’s α was excellent. Evidence of validity was also found between scores on the SWMLS and other indicators of well-being and acculturation. The findings suggested a brief and viable tool to assess satisfaction with migration life. Potential uses of the scale for research are discussed. (PsycINFO Database Record (c) 2016 APA, all rights reserved)</t>
  </si>
  <si>
    <t>http://search.ebscohost.com.proxy-ub.rug.nl/login.aspx?direct=true&amp;db=psyh&amp;AN=2016-42418-006&amp;site=ehost-live&amp;scope=site</t>
  </si>
  <si>
    <t>The social context of assimilation: Testing implications of segmented assimilation theory.</t>
  </si>
  <si>
    <t>Xie, Yu; Greenman, Emily</t>
  </si>
  <si>
    <t>2011-07197-020</t>
  </si>
  <si>
    <t>10.1016/j.ssresearch.2011.01.004</t>
  </si>
  <si>
    <t>Acculturation; Immigration; Social Processes; Well Being; Adolescence (13-17 yrs); Female</t>
  </si>
  <si>
    <t>Segmented assimilation theory has been a popular explanation for the diverse experiences of assimilation among new waves of immigrants and their children. While the theory has been interpreted in many different ways, we emphasize its implications for the important role of social context: both processes and consequences of assimilation should depend on the local social context in which immigrants are embedded. We derive empirically falsifiable hypotheses about the interaction effects between social context and assimilation on immigrant children’s well-being. We then test the hypotheses using data from the National Longitudinal Study of Adolescent Health. Our empirical analyses yield two main findings. First, for immigrant adolescents living in non-poverty neighborhoods, we find assimilation to be positively associated with educational achievement and psychological well-being but also positively associated with at-risk behavior. Second, there is little empirical evidence supporting our hypotheses derived from segmented assimilation theory. We interpret these results to mean that future research would be more fruitful focusing on differential processes of assimilation rather than differential consequences of assimilation. (PsycINFO Database Record (c) 2017 APA, all rights reserved)</t>
  </si>
  <si>
    <t>http://search.ebscohost.com.proxy-ub.rug.nl/login.aspx?direct=true&amp;db=psyh&amp;AN=2011-07197-020&amp;site=ehost-live&amp;scope=site</t>
  </si>
  <si>
    <t>The social determinants of depression in elderly Korean immigrants in Canada: Does acculturation matter?</t>
  </si>
  <si>
    <t>Kim, Wooksoo; Chen, Ya-Ling</t>
  </si>
  <si>
    <t>2012-04421-001</t>
  </si>
  <si>
    <t>10.2190/AG.73.4.a</t>
  </si>
  <si>
    <t>Acculturation; Immigration; Korean Cultural Groups; Major Depression; Psychosocial Factors; Quality of Life; Adulthood (18 yrs &amp; older); Middle Age (40-64 yrs); Aged (65 yrs &amp; older); Very Old (85 yrs &amp; older); Male; Female</t>
  </si>
  <si>
    <t>Depression in old age significantly decreases the quality of life and may lead to serious consequences, such as suicide. Existing literature indicates that elderly Korean immigrants may experience higher levels of depression than other racial ethnic group elders. The purpose of this exploratory study was to investigate factors that influence depression among older Korean immigrants in Toronto. A total of 148 participants, ages 60 years or older (mean age = 74.01, SD = 8.24), completed face-to-face interviews in Korean language. Hierarchical regression analyses were conducted by adding variables in three steps: 1) demographic variables; 2) acculturation variables (years of immigration and English proficiency); and 3) social determinants (social integration variables, physical health, and financial satisfaction). Results showed that acculturation factors were not associated with depression. Instead, social determinants variables, including lower physical health status and lower financial status, living alone, and lower level of social activity, predicted higher level of depressive symptoms, along with lower education. The final regression model explained about 37% of variance of depression in the sample. These results suggest that social determinants, not acculturation, are important factors explaining the levels of depression in Korean immigrant elders living in a metropolitan city in Canada. Implications for practice are discussed. (PsycINFO Database Record (c) 2016 APA, all rights reserved)</t>
  </si>
  <si>
    <t>http://search.ebscohost.com.proxy-ub.rug.nl/login.aspx?direct=true&amp;db=psyh&amp;AN=2012-04421-001&amp;site=ehost-live&amp;scope=site</t>
  </si>
  <si>
    <t>The subjective well-being of immigrants aged 50 and older in Israel.</t>
  </si>
  <si>
    <t>Amit, Karin; Litwin, Howard</t>
  </si>
  <si>
    <t>2010-16288-006</t>
  </si>
  <si>
    <t>10.1007/s11205-009-9519-5</t>
  </si>
  <si>
    <t>Immigration; Life Satisfaction; Quality of Life; Social Integration; Well Being; Adulthood (18 yrs &amp; older); Middle Age (40-64 yrs); Aged (65 yrs &amp; older); Male; Female</t>
  </si>
  <si>
    <t>The present study evaluated the integration of elderly people who migrated to Israel during their lifetimes. Subjective well-being, as measured by the immigrants’ perception of quality of life, satisfaction with life and emotional state, served as a general indicator of integration. The integration of elderly immigrants has not received adequate attention in the literature. A unique database (SHARE-Israel) that was recently released has made study of this topic possible. The current study sample was composed of former migrants aged 50 and older (n = 930). The analytic model examined ethnic origin and migration variables in relation to the respective subjective outcomes, controlling for sociodemographic background, human and social capital and health. The findings show that in general, ethnic origin seems to matter less for the evaluation of immigrants’ subjective well-being than other socio economic factors such as economic status, social capital and health status. However, recent arrivals from the Former Soviet Union do differ from all other immigrant groups in their lower levels of well-being. In addition, the study points to the importance of language proficiency as a central means for integration in the destination country. (PsycINFO Database Record (c) 2016 APA, all rights reserved)</t>
  </si>
  <si>
    <t>http://search.ebscohost.com.proxy-ub.rug.nl/login.aspx?direct=true&amp;db=psyh&amp;AN=2010-16288-006&amp;site=ehost-live&amp;scope=site</t>
  </si>
  <si>
    <t>The supporting and impeding effects of group-related approach and avoidance strategies on newcomers’ psychological adaptation.</t>
  </si>
  <si>
    <t>Matschke, Christina; Sassenberg, Kai</t>
  </si>
  <si>
    <t>2010-18144-004</t>
  </si>
  <si>
    <t>10.1016/j.ijintrel.2010.04.008</t>
  </si>
  <si>
    <t>Avoidance; Cross Cultural Differences; Society; Well Being; Adaptation; Coping Behavior; Adulthood (18 yrs &amp; older); Young Adulthood (18-29 yrs); Male; Female</t>
  </si>
  <si>
    <t>Migrating to another country makes a person a newcomer in the receiving society. The current research investigates the impact of group-related approach and avoidance strategies on the psychological functioning of newcomers in the receiving society. Research in the interpersonal domain has demonstrated that approach strategies have positive effects and avoidance strategies negative effects on people's well-being. We propose that in an intercultural context group-related approach strategies also lead to a higher extent of well-being. Moreover, we expect that people's attitude to contact and (dis)identification account for this effect. As in the interpersonal domain, group-related avoidance strategies are expected to lead to lower well-being. More specifically, we predict that avoidance strategies facilitate disidentification, which, in turn, affects well-being negatively. Moreover, disidentification, being an unsuccessful integration into the group, is predicted to induce stronger achievement effort as a compensation for unsuccessful integration. A longitudinal study with 51 German first-year students in the Netherlands mainly confirmed these predictions. However, the predicted mediation was not found for avoidance strategies. Results are discussed with reference to approach/avoidance literature and acculturation research. The findings underline the importance of early strategy adoption to ensure long-term psychological functioning of migrants in the receiving society. (PsycInfo Database Record (c) 2020 APA, all rights reserved)</t>
  </si>
  <si>
    <t>http://search.ebscohost.com.proxy-ub.rug.nl/login.aspx?direct=true&amp;db=psyh&amp;AN=2010-18144-004&amp;site=ehost-live&amp;scope=site</t>
  </si>
  <si>
    <t>The trouble with assimilation: Social dominance and the emergence of hostility against immigrants.</t>
  </si>
  <si>
    <t>Guimond, Serge; De Oliveira, Pierre; Kamiesjki, Rodolphe; Sidanius, Jim</t>
  </si>
  <si>
    <t>2010-21371-007</t>
  </si>
  <si>
    <t>10.1016/j.ijintrel.2010.01.002</t>
  </si>
  <si>
    <t>Acculturation; Culture (Anthropological); Immigration; Social Dominance; Dominance; Hostility; Adulthood (18 yrs &amp; older); Male; Female</t>
  </si>
  <si>
    <t>In exploring the 'status boundary enforcement hypothesis,' Thomsen, Green and Sidanius (2008) theorized and confirmed that Social Dominance Orientation would be more strongly correlated with a general willingness to aggress against immigrants when respondents are primed with an immigrant who is eager to assimilate into the dominant culture than when they are primed with an immigrant who prefers cultural isolation (separation). However, because assimilation differs from separation on both the home culture component and the host culture component, the actual source of this effect remains unclear. By using an assimilation versus integration contrast that differ only on the home culture component, the present study confirmed and extended Thomsen et al.’s findings. We were able to conclude that this counter intuitive effect, at odds with most research in this area, is primarily driven by people with high SDO having more negative reactions to immigrants’ willing to abandon their original cultures rather than to immigrants wanting to maintain contact with the host culture. The theoretical implications of these findings are discussed. (PsycInfo Database Record (c) 2020 APA, all rights reserved)</t>
  </si>
  <si>
    <t>http://search.ebscohost.com.proxy-ub.rug.nl/login.aspx?direct=true&amp;db=psyh&amp;AN=2010-21371-007&amp;site=ehost-live&amp;scope=site</t>
  </si>
  <si>
    <t>The unmet supportive care needs of Arab Australian and Arab Jordanian cancer survivors: An international comparative survey.</t>
  </si>
  <si>
    <t>Alananzeh, Ibrahim M.; Levesque, Janelle V.; Kwok, Cannas; Salamonson, Yenna; Everett, Bronwyn</t>
  </si>
  <si>
    <t>E51</t>
  </si>
  <si>
    <t>2019-24667-017</t>
  </si>
  <si>
    <t>10.1097/NCC.0000000000000609</t>
  </si>
  <si>
    <t>Arabs; Health Service Needs; Survivors; Neoplasms; Adulthood (18 yrs &amp; older); Male; Female</t>
  </si>
  <si>
    <t>Background: Research exploring the unmet supportive care needs of Arab cancer survivors is limited, with most conducted with immigrant groups. No study has compared the unmet supportive care needs of immigrant Arab cancer survivors with Arab cancer survivors living in their native country. Objective: To explore the unmet supportive care needs of both Arab Australian and Arab Jordanian cancer survivors. Methods: Arab people living in Sydney, Australia, and Amman, Jordan, and diagnosed with cancer within the last 5 years were invited to complete a questionnaire that measured unmet supportive care needs, depression, and language acculturation. Multiple regression analysis was performed to identify predictors of unmet supportive care needs. Results: Seventy-seven Arab Jordanian and 66 Arab Australian cancer survivors were recruited. Australian participants were older than their Jordanian counterparts (61.5 vs 52.3 years; P &lt; .001) and reported higher levels of overall unmet needs (44.9 vs 36.1; P = .012). Controlling for age and stage of cancer diagnosis, higher levels of depression (β = .34) and living in Australia (β = .26) were significant predictors of unmet needs and explained almost 17% of the variance. Conclusions: These findings have extended our understanding of the unmet supportive care needs of Arab cancer survivors and confirm disparities in unmet needs in immigrant populations. Implications for Practice: Greater attention is needed to ensure the supportive care needs are met for immigrant patients with cancer. Additional strategies to address physical and psychological needs are particularly needed in this group. (PsycInfo Database Record (c) 2020 APA, all rights reserved)</t>
  </si>
  <si>
    <t>http://search.ebscohost.com.proxy-ub.rug.nl/login.aspx?direct=true&amp;db=psyh&amp;AN=2019-24667-017&amp;site=ehost-live&amp;scope=site</t>
  </si>
  <si>
    <t>The Vancouver Index of Acculturation (VIA): New evidence on dimensionality and measurement invariance across two cultural settings.</t>
  </si>
  <si>
    <t>Testa, Silvia; Doucerain, Marina M.; Miglietta, Anna; Jurcik, Tomas; Ryder, Andrew G.; Gattino, Silvia</t>
  </si>
  <si>
    <t>2019-34218-007</t>
  </si>
  <si>
    <t>10.1016/j.ijintrel.2019.04.001</t>
  </si>
  <si>
    <t>Acculturation; Immigration; Test Reliability; Test Validity; Demographic Characteristics; European Cultural Groups; Measurement Invariance; Adulthood (18 yrs &amp; older); Male; Female</t>
  </si>
  <si>
    <t>The Vancouver Index of Acculturation (VIA) is a self-report bidimensional instrument that has been employed in several cultural contexts to assess migrants’ orientations toward mainstream and heritage traditions. Although it has shown good reliability and validity in the past, recent theoretical developments and empirical studies have suggested the VIA might assess more than two dimensions. Moreover, measurement invariance of this instrument across demographic subgroups has never been assessed before. With the aim of evaluating these psychometric issues, exploratory factor analysis and Rasch modeling were conducted on data from two samples of immigrants to Canada (N = 224) and to Italy (N = 266). Results supported the hypothesized two-factor structure, with Rasch modeling showing that items within a subscale differed in terms of 'difficulty' in being endorsed, but still belonged to a single factor. Differential item functioning analysis results showed measurement invariance across gender, age and education subgroups. Most results converged across the two samples. (PsycINFO Database Record (c) 2019 APA, all rights reserved)</t>
  </si>
  <si>
    <t>http://search.ebscohost.com.proxy-ub.rug.nl/login.aspx?direct=true&amp;db=psyh&amp;AN=2019-34218-007&amp;site=ehost-live&amp;scope=site</t>
  </si>
  <si>
    <t>Threat and prejudice against Syrian refugees in Canada: Assessing the moderating effects of multiculturalism, interculturalism, and assimilation.</t>
  </si>
  <si>
    <t>Scott, Colin; Safdar, Saba</t>
  </si>
  <si>
    <t>2017-45231-004</t>
  </si>
  <si>
    <t>10.1016/j.ijintrel.2017.06.003</t>
  </si>
  <si>
    <t>Acculturation; Prejudice; Refugees; Threat; Multiculturalism; Social Dominance; Adolescence (13-17 yrs); Adulthood (18 yrs &amp; older); Young Adulthood (18-29 yrs); Thirties (30-39 yrs); Middle Age (40-64 yrs); Male; Female</t>
  </si>
  <si>
    <t>A survey experiment (N = 529) was used to test the moderating effects of intergroup ideologies (assimilation, multiculturalism, and interculturalism) on the relationship between social dominance orientation (SDO) and expressions of prejudice under conditions of intergroup threat. Moderated multiple regression analyses suggest a multicultural integration frame moderates the relationship between SDO and feelings toward Syrian refugees in Canada when the target outgroup is portrayed as a source of intergroup threat. This moderating effect was unique to the relationship between SDO and feelings toward Syrians and did not extend to other correlates of prejudice including beliefs in zero-sum group competition or a multicultural ideology, nor did it extend to more general measures of prejudice (i.e., attitudes toward immigrants or evaluations of intercultural contact). Findings suggest the prejudice-reducing effects of a multicultural integration narrative affect group evaluations and functions by targeting beliefs in social dominance, rather than zero-sum group competition or ideological support for cultural diversity. The results offer insights into the prejudice-reducing potential for two alternative integration narratives that are institutionalized in Canada. (PsycInfo Database Record (c) 2020 APA, all rights reserved)</t>
  </si>
  <si>
    <t>http://search.ebscohost.com.proxy-ub.rug.nl/login.aspx?direct=true&amp;db=psyh&amp;AN=2017-45231-004&amp;site=ehost-live&amp;scope=site</t>
  </si>
  <si>
    <t>Time Spent in the United States and Breast Cancer Screening Behaviors among Ethnically Diverse Immigrant Women: Evidence for Acculturation?</t>
  </si>
  <si>
    <t>Brown, William Michael; Consedine, Nathan S.; Magai, Carol</t>
  </si>
  <si>
    <t>2006-12046-005</t>
  </si>
  <si>
    <t>10.1007/s10903-006-9005-y</t>
  </si>
  <si>
    <t>Acculturation; Breast Neoplasms; Cancer Screening; Health Behavior; Immigration; Health Attitudes; Health Insurance; Human Females; Time; Urban Environments; Latinos/Latinas; Adulthood (18 yrs &amp; older); Female</t>
  </si>
  <si>
    <t>The current study was designed to investigate the relations between time spent in the United States and breast cancer screening in a large sample (N = 915) of ethnically diverse immigrant women living in New York City. Previous research among Hispanic women has suggested that acculturation positively influences health beliefs and preventive health behaviors. However, research has not yet extended to other growing immigrant groups, including women from Haiti and the English-speaking Caribbean, and has not tested whether time spent in the United States differentially impacts breast screening across groups that are known to vary in their health beliefs. As expected, time spent in the United States was associated with a greater number of mammograms and clinical breast exams. Importantly, these relations held even when controlling for (a) age, income, education, marital status; (b) morbidity, health insurance, physician's recommendation, physical exams; and (c) ethnicity. Moreover, time spent in the United States interacted with being Haitian to predict the number of clinical breast exams. Even though Haitians were less likely to utilize breast cancer screening overall, time spent in the United States had a stronger effect on the number of clinical breast exams for Haitian women. Results are discussed in terms of the ethnic-specificity of health beliefs, how they may change over time and their implications for preventive health behaviors. (PsycINFO Database Record (c) 2016 APA, all rights reserved)</t>
  </si>
  <si>
    <t>http://search.ebscohost.com.proxy-ub.rug.nl/login.aspx?direct=true&amp;db=psyh&amp;AN=2006-12046-005&amp;site=ehost-live&amp;scope=site</t>
  </si>
  <si>
    <t>Time Trends in Eating Disturbances in Young Greek Migrants.</t>
  </si>
  <si>
    <t>Fichter, Manfred M.; Quadflieg, Norbert; Georgopoulou, Eleni; Xepapadakos, Franziskos; Fthenakis, E. Wassilios</t>
  </si>
  <si>
    <t>International Journal of Eating Disorders</t>
  </si>
  <si>
    <t>2005-16312-004</t>
  </si>
  <si>
    <t>10.1002/eat.20187</t>
  </si>
  <si>
    <t>Eating Disorders; Human Migration; Trends; Adolescent Development; Childhood (birth-12 yrs); School Age (6-12 yrs); Adolescence (13-17 yrs); Adulthood (18 yrs &amp; older); Young Adulthood (18-29 yrs); Male; Female</t>
  </si>
  <si>
    <t>Objective: The study intends to measure time trends in eating disorder psychopathology in Greek adolescents in Veria (Greece) and migrant Greek adolescents in Munich (Germany). For this purpose, large samples of students were assessed at both locations in the 1980s and about two decades later. Our research question was whether the frequency of eating disorder-related psychopathology had changed over time and that there were differences between migrants and nonmigrants. The present-day prevalence of eating disorders in the Greek population was established. Method: Greek adolescents were assessed in Munich and Veria in the 1980s (N=2,631) and almost two decades later (N=2,920). At both times, the Anorexia Nervosa Inventory for Self-Rating (ANIS) was used to assess eating disorder pathology and the General Health Questionnaire (GHQ-28) was used to assess mental health status. In the second wave, persons at risk for an eating disorder were interviewed using the Structured Interview for Anorexic and Bulimic Syndromes (SIAB-EX). Results: At both times and both locations, adolescent girls in comparison to boys had higher, more pathologic scores on the GHQ-28 and on all ANIS self-rating subscales. Females in Munich reported an increase over time in figure consciousness and their fear of negative effects of meals. In the 1980s, significantly higher scores of bulimic behavior were found in Veria as compared with Munich. In the second wave, bulimic behavior was considerably decreased in Veria for both girls and boys, and for bulimic behavior no significant differences were found between locations. The percentage of girls with a low body weight (&lt;5th percentile) increased significantly over time in Veria and Munich. In the second wave, the current prevalence for girls with anorexia nervosa was 0.00% in Munich and 0.59% in Veria (lifetime 1.26% and 1.18%, respectively). For bulimia nervosa, current prevalence was 1.89% in Munich and 1.18% in Veria. Conclusion: Differences between locations diminished over time. Bulimic syndromes are prevalent in both locations. (PsycINFO Database Record (c) 2016 APA, all rights reserved)</t>
  </si>
  <si>
    <t>http://search.ebscohost.com.proxy-ub.rug.nl/login.aspx?direct=true&amp;db=psyh&amp;AN=2005-16312-004&amp;site=ehost-live&amp;scope=site</t>
  </si>
  <si>
    <t>Tobacco use among Arab immigrants living in Colorado: Prevalence and cultural predictors.</t>
  </si>
  <si>
    <t>El Hajj, Dana G.; Cook, Paul F.; Magilvy, Kathy; Galbraith, Michael E.; Gilbert, Lynn; Corwin, Marla</t>
  </si>
  <si>
    <t>2017-06807-009</t>
  </si>
  <si>
    <t>10.1177/1043659615617512</t>
  </si>
  <si>
    <t>Arabs; Immigration; Sociocultural Factors; Tobacco Smoking; Adulthood (18 yrs &amp; older); Young Adulthood (18-29 yrs); Thirties (30-39 yrs); Middle Age (40-64 yrs); Aged (65 yrs &amp; older); Male; Female</t>
  </si>
  <si>
    <t>Purpose: The authors determined the prevalence of smoking among Arab immigrants living in Colorado. The authors also evaluated the relationship between acculturation and tobacco use, including both cigarettes and hookah among Arab immigrants. Method: A cross-sectional survey of 100 adult Arab immigrants living in Colorado was carried out. Results: The results revealed that 19% of the study participants were current cigarette smokers and 21% were current hookah smokers. Participants who were more integrated into Arab culture were more likely to use tobacco products (p = .03) and to have family members (p = .02) and friends who use tobacco products (p = .007). Conclusions: Acculturation plays a major role in affecting the health habits of Arab immigrants living in Colorado, especially in the area of hookah smoking. Implications for Practice: Understanding some culturally relevant predictors of tobacco use might assist health care providers in designing successful smoking cessation programs. (PsycINFO Database Record (c) 2017 APA, all rights reserved)</t>
  </si>
  <si>
    <t>http://search.ebscohost.com.proxy-ub.rug.nl/login.aspx?direct=true&amp;db=psyh&amp;AN=2017-06807-009&amp;site=ehost-live&amp;scope=site</t>
  </si>
  <si>
    <t>Topography, culture areas, and integration of retired migrants in a coastal North Carolina county.</t>
  </si>
  <si>
    <t>Mitchell, Jim; Wilson, James L.</t>
  </si>
  <si>
    <t>2011-06702-003</t>
  </si>
  <si>
    <t>10.1177/0733464810384479</t>
  </si>
  <si>
    <t>Aging; Community Involvement; Human Migration; Social Integration; Topography; Gerontology; Retirement; Sociocultural Factors; Adulthood (18 yrs &amp; older); Aged (65 yrs &amp; older)</t>
  </si>
  <si>
    <t>The later life migration literature includes analyses of migration streams, examination of later life migration precursors, the economic impact of migration, and meta-analyses advocating methodological refinement. Missing are studies of later life migrants post relocation, including their social integration in receiving communities. The small area analysis presented here evolved in consultation with a local Planning Committee including older adults and service providers that guided development of an aging services plan for Dare County on the North Carolina Outer Banks. Multiple methods were applied, including secondary historical and contextual data, in-depth interviews, and a brief survey of older adults using services. Findings suggest difference among communities in the integration of later life migrants with older natives that provides context for service needs and delivery. Community difference stems from topographical land form characteristics, socioeconomic and cultural difference between later life migrants and older natives, and the course of residential development across communities. (PsycINFO Database Record (c) 2016 APA, all rights reserved)</t>
  </si>
  <si>
    <t>http://search.ebscohost.com.proxy-ub.rug.nl/login.aspx?direct=true&amp;db=psyh&amp;AN=2011-06702-003&amp;site=ehost-live&amp;scope=site</t>
  </si>
  <si>
    <t>Tourists' strategies: An acculturation approach.</t>
  </si>
  <si>
    <t>Rasmi, Sarah; Ng, SiewImm; Lee, Julie A.; Soutar, Geoff N.</t>
  </si>
  <si>
    <t>2013-36602-030</t>
  </si>
  <si>
    <t>10.1016/j.tourman.2013.07.006</t>
  </si>
  <si>
    <t>Acculturation; Cross Cultural Differences; Tourism; Home Environment; Preferences; Strategies; Traveling; Adulthood (18 yrs &amp; older); Male; Female</t>
  </si>
  <si>
    <t>Acculturation theory has been widely used to understand and explain migrant and sojourner adaptation. However, it has yet to be examined in a tourist context. We extended the literature by evaluating the applicability of Berry’s (1997) bidimensional acculturation model to a sample of 668 recent and prospective international travelers from China (n = 205), Germany (n = 201), and the United States (n = 262). Our results suggested that the acculturation model can be extended to tourist contexts and used for segmentation purposes. Specifically, tourists’ acculturation strategies were associated with their preferences for home culture maintenance and host culture immersion, as well as behavioral, holiday, and activity preferences. Ethnocentrism and uncertainty avoidance were also found to vary as a function of tourists’ acculturation strategy. (PsycINFO Database Record (c) 2016 APA, all rights reserved)</t>
  </si>
  <si>
    <t>http://search.ebscohost.com.proxy-ub.rug.nl/login.aspx?direct=true&amp;db=psyh&amp;AN=2013-36602-030&amp;site=ehost-live&amp;scope=site</t>
  </si>
  <si>
    <t>Towards a culturally appropriate mental health system: Sudanese- Australians' experiences with trauma.</t>
  </si>
  <si>
    <t>Copping, Alicia; Shakespeare-Finch, Jane; Paton, Douglas</t>
  </si>
  <si>
    <t>2013-30315-006</t>
  </si>
  <si>
    <t>10.1375/prp.4.1.53</t>
  </si>
  <si>
    <t>Mental Health Services; Refugees; Social Support; Sociocultural Factors; Trauma; Acculturation; Prosocial Behavior; Adulthood (18 yrs &amp; older); Young Adulthood (18-29 yrs); Thirties (30-39 yrs); Middle Age (40-64 yrs); Male; Female</t>
  </si>
  <si>
    <t>Australia is fortunate to welcome approximately 13,000 humanitarian entrants per year, most of whom have experienced protracted violence, hardship and life in refugee camps. The majority of humanitarian migrants were raised in cultural contexts very different to that of Australia, contributing to the increasing diversity of this region. With this diversity comes a responsibility to ensure every Australian receives culturally appropriate mental healthcare. Those who are forced into migration have experienced trauma and the stress of acculturation often compounds this trauma. This study investigated the experience of trauma from the perspectives of Sudanese-Australians. Grounded theory methodology was employed to extract themes from interviews with 15 Sudanese-Australians aged between 19 and 49 years. Results demonstrated four overarching themes: support, religion, strength and new possibilities. The data within these themes are compared and contrasted with previous literature that has examined notions of trauma, distress and growth in western populations. Conclusions drawn from these results highlight the need to build inclusive practices that support diversity into existing trauma services in Australia. (PsycINFO Database Record (c) 2017 APA, all rights reserved)</t>
  </si>
  <si>
    <t>http://search.ebscohost.com.proxy-ub.rug.nl/login.aspx?direct=true&amp;db=psyh&amp;AN=2013-30315-006&amp;site=ehost-live&amp;scope=site</t>
  </si>
  <si>
    <t>Towards the development and validation of the Children's Acculturation Report (CAR).</t>
  </si>
  <si>
    <t>Park-Taylor, Jennie</t>
  </si>
  <si>
    <t>2005-99012-028</t>
  </si>
  <si>
    <t>Acculturation; Psychological Report; Psychometrics; Test Reliability; Test Validity; Childhood Development; Experiences (Events); Immigration; Psychological Assessment; Stress; Childhood (birth-12 yrs); School Age (6-12 yrs); Male; Female</t>
  </si>
  <si>
    <t>The Children's Acculturation Report is a two-part acculturation instrument (Children's Acculturation Report-Assessment or CAR-A, and Children's Acculturation Report-Drawings or CAR-D) that aims to collect information regarding immigrant children's level of acculturative stress and their acculturation experiences. The Children's Acculturation Report-Assessment (CAR-A) is a 35-item modified forced choice scale that was developed to assess acculturative stress in 4 th, 5th, and 6th grade immigrant youth. The CAR-A was tested on 203 4th, 5th, and 6 th grade students (128 girls and 75 boys). Principal-components analyses yielded internally consistent components: Marginalization Stress (12 items) and Social Disconnection Stress (8 items). These two components accounted for 26.5% of the total variance and correlated in the expected directions with another acculturative stress measure for immigrant children. Further validity testing of the CAR-A and ways in which the CAR-A can be improved in the future are discussed. The CAR-D offered participants an opportunity to draw pictures and write captions illustrating their understanding of the acculturation process. Based on an exploratory review of the data from the CAR-D, a number of acculturation themes emerged: (a) English language acquisition; (b) becoming accepted or rejected by others; (c) completing the requirements for citizenship; (d) becoming successful in school and life; (e) adjusting to a new culture; and (f) a multidimentional understanding of cultural adjustment that incorporated more than one acculturation theme. Implications of the study and directions for future research are also discussed. (PsycINFO Database Record (c) 2016 APA, all rights reserved)</t>
  </si>
  <si>
    <t>http://search.ebscohost.com.proxy-ub.rug.nl/login.aspx?direct=true&amp;db=psyh&amp;AN=2005-99012-028&amp;site=ehost-live&amp;scope=site</t>
  </si>
  <si>
    <t>Tracing diasporic identifications in Africa's urban landscapes: Evidence from Lusaka and Kampala.</t>
  </si>
  <si>
    <t>Bakewell, Oliver; Binaisa, Naluwembe</t>
  </si>
  <si>
    <t>2015-55055-009</t>
  </si>
  <si>
    <t>10.1080/01419870.2016.1105994</t>
  </si>
  <si>
    <t>Human Migration; Nationalism; Social Identity; Social Integration; African Cultural Groups; Urbanization; Adulthood (18 yrs &amp; older); Young Adulthood (18-29 yrs); Thirties (30-39 yrs); Middle Age (40-64 yrs); Male; Female</t>
  </si>
  <si>
    <t>The transnational movements of Africans within the continent are seldom conceptualized as leading to diasporic identifications and relationships. In stark contrast, the migration of Africans beyond the continent, which occurs on a smaller scale, is routinely associated with diaspora formation. Drawing on fieldwork with migrants from Anglophone and Francophone West Africa and the Horn of Africa living in Lusaka and Kampala, this paper explores whether their movements gives rise to the formation of diasporic connections that sustain and reproduce identifications with the place and people of origin, over distance and through generations. The analysis illustrates how different layers of ‘origin’ and ‘destination’ factors interact to reinforce or undermine diasporic identifications in Africa’s urban landscapes. The homeland where mobility is embedded in socioeconomic relations that embrace transnational linkages may perpetuate connections. The conditions of urban life that impose pressures to remain outsiders may perpetuate exclusion and hinder integration. (PsycINFO Database Record (c) 2016 APA, all rights reserved)</t>
  </si>
  <si>
    <t>http://search.ebscohost.com.proxy-ub.rug.nl/login.aspx?direct=true&amp;db=psyh&amp;AN=2015-55055-009&amp;site=ehost-live&amp;scope=site</t>
  </si>
  <si>
    <t>Trajectories of dietary change and the social context of migration: A qualitative study.</t>
  </si>
  <si>
    <t>Bojorquez, Ietza; Rentería, Daniela; Unikel, Claudia</t>
  </si>
  <si>
    <t>2014-33209-014</t>
  </si>
  <si>
    <t>10.1016/j.appet.2014.06.005</t>
  </si>
  <si>
    <t>Diets; Eating Behavior; Human Migration; Food; Human Females; Adulthood (18 yrs &amp; older); Young Adulthood (18-29 yrs); Thirties (30-39 yrs); Middle Age (40-64 yrs); Aged (65 yrs &amp; older); Female</t>
  </si>
  <si>
    <t>The aim of this article was to explore the influence of migration on changes in dietary practices, relating these changes to the social contexts in which they occur. Numerous studies have described how migration from poor countries and regions to more developed ones leads migrants to adopt a modern diet associated to the risk of acquiring chronic diseases. However, different contexts might influence dietary change in migrants in diverse ways. For this purpose, 28 semi-structured interviews were conducted with adult, female internal migrants to a border city in Mexico. The interviews were analyzed using thematic analysis. The results showed trajectories of dietary change to be associated to social position before and after migration. For the participants from rural areas, migration was accompanied by an increase in the consumption of processed foods, and also changes in food insecurity. Migrants who came from urban areas reported a decrease in the perceived quality of food available to them, but their eating pattern was modified only slightly. For some interviewees, migration resulted in the possibility to choose what to eat in a more autonomous way. We discuss how the effect of migration on dietary changes can be manifold, and the necessity to delve into how social context influences these changes. (PsycInfo Database Record (c) 2020 APA, all rights reserved)</t>
  </si>
  <si>
    <t>http://search.ebscohost.com.proxy-ub.rug.nl/login.aspx?direct=true&amp;db=psyh&amp;AN=2014-33209-014&amp;site=ehost-live&amp;scope=site</t>
  </si>
  <si>
    <t>Transition to a new country: Acculturative and developmental predictors for changes in self-efficacy among adolescent immigrants.</t>
  </si>
  <si>
    <t>Titzmann, Peter F.; Jugert, Philipp</t>
  </si>
  <si>
    <t>2017-43897-002</t>
  </si>
  <si>
    <t>10.1007/s10964-017-0665-9</t>
  </si>
  <si>
    <t>Acculturation; Adolescent Development; Immigration; Self-Efficacy; Childhood (birth-12 yrs); School Age (6-12 yrs); Adolescence (13-17 yrs); Adulthood (18 yrs &amp; older); Young Adulthood (18-29 yrs); Male; Female</t>
  </si>
  <si>
    <t>Self-efficacy is a key personal resource in individual development and successful adaptation, and it can serve innumerable purposes. Our study investigated levels and change rates in self-efficacy among newcomer and more experienced immigrant adolescents and tested whether acculturation-related and developmental variables explained inter-individual differences in self-efficacy in both groups. The sample comprised 480 newcomer (59% female, 15.8 years old) and 483 experienced (55% female, 15.9 years old) immigrant adolescents, assessed in four annual waves. Latent growth curve models showed newcomers to have lower levels and more pronounced increases of self-efficacy as compared to experienced immigrant adolescents. Both acculturation-related and developmental variables predicted self-efficacy. The results highlight the need for focusing on immigration stages and support the notion of combining developmental and acculturative factors in the study of immigrant adolescents. (PsycINFO Database Record (c) 2017 APA, all rights reserved)</t>
  </si>
  <si>
    <t>http://search.ebscohost.com.proxy-ub.rug.nl/login.aspx?direct=true&amp;db=psyh&amp;AN=2017-43897-002&amp;site=ehost-live&amp;scope=site</t>
  </si>
  <si>
    <t>Transnational marriage, gendered migration, and the wellbeing of asian women migrants: A mixed-methods comparative study of taiwan and south korea.</t>
  </si>
  <si>
    <t>Chang, Hsin-Chieh</t>
  </si>
  <si>
    <t>7-A(E)</t>
  </si>
  <si>
    <t>2015-99010-517</t>
  </si>
  <si>
    <t>Asians; Immigration; Marriage; Well Being; Wives; Health; Interracial Marriage; Life Satisfaction; Sex Roles; Female</t>
  </si>
  <si>
    <t>The interdisciplinary literature on gender, intermarriage, and transnational migration has often compared the social phenomenon of intra-Asia marriage migration with either the transnational marriages of mail-order brides or with the gendered migration of live-in care workers, with a strong tendency to examine its negative consequences for marriage migrants who choose to migrate from poorer to richer countries within Asia through transnational marriages. To date, however, we have limited understanding of the determinants of marriage migrants' wellbeing in the marriage and migration processes. To further examine the positive social and health consequences of intra-Asia marriage migration, this dissertation uses the National Survey on Multicultural Families in South Korea (N=69,394), forty-eight in-depth interviews, and a year of multi-sited fieldwork working with sixteen migrant organizations in both rural and urban settings, to answer one major research question: how do transnational marriage and gendered migration affect the wellbeing of Asian women migrants in Taiwan and South Korea? I found that gender dynamics, socioeconomic status, and social integration are three key and interconnected determinants of marriage migrants' health and wellbeing. Specifically, marital power dynamics between marriage migrants and their husbands have a direct effect on marriage migrants' self-rated health, life satisfaction, and views on marriage migration; marriage migrants' exposure to gender-based bias affects their propensity to marry across borders through different channels, while the flexibility of gender structure in the marital families is critical in marriage migrants' double transition of becoming married women and becoming migrants. On the one hand, the socioeconomic status of marital families is more important to marriage migrants' self-rated health and life satisfaction than the education of their husbands. On the other hand, the social standing of natal families reveals little effect on marriage migrants' post-migration wellbeing, yet marriage migrants' own education has a reverse effect on how they value the experience of transnational marriage migration. In terms of the various dimensions of social integration, social relationships with the native populations affect marriage migrants' health in a positive way, yet social relationships with co-ethnics turn out to influence their health negatively. Overall, marriage migrants' gendered social roles—as wives, daughters-in-law, and mothers—in the marital families allow them to better negotiate their individual agency, which is defined as their ability to act independently and make free choices. The sense of belonging gained through participating in these family roles serves as a strong foundation for marriage migrants to further integrate into the host societies as migrant groups through taking on social roles as community members and citizens. By using multiple measures of gender dynamics, socioeconomic status, and social integration, I show both (1) the quantitative significance of these factors to the health and wellbeing of marriage migrants from different Asian ethnicities/countries of origin in South Korea, and (2) the qualitative importance of these factors in shaping the life trajectories of Vietnamese marriage migrants in Taiwan and South Korea who met their husbands through different marriage channels at different stages of their lives. In conclusion, this dissertation illustrates the diverse experiences of intra-Asia marriage migrants and emphasizes the importance of marriage migrants' wellbeing to their marital families, host societies, and the developmental trajectories of their bi-ethnic children. Using the case of transnational marriage migrants, whose social positions are marginalized by multiple social hierarchies of gender, class, ethnicity, nativity, and capitalist globalization, I suggest that… (PsycINFO Database Record (c) 2016 APA, all rights reserved)</t>
  </si>
  <si>
    <t>http://search.ebscohost.com.proxy-ub.rug.nl/login.aspx?direct=true&amp;db=psyh&amp;AN=2015-99010-517&amp;site=ehost-live&amp;scope=site</t>
  </si>
  <si>
    <t>Transnational Ties and Mental Health of Caribbean Immigrants.</t>
  </si>
  <si>
    <t>Murphy, Eleanor J.; Mahalingam, Ramaswami</t>
  </si>
  <si>
    <t>2004-20061-003</t>
  </si>
  <si>
    <t>10.1023/B:JOIH.0000045254.71331.5e</t>
  </si>
  <si>
    <t>Immigration; Mental Health; Well Being; Adulthood (18 yrs &amp; older); Young Adulthood (18-29 yrs); Thirties (30-39 yrs); Middle Age (40-64 yrs); Male; Female</t>
  </si>
  <si>
    <t>Immigration scholars have demonstrated the increasing importance of transnational activities among contemporary immigrants. While much of the previous research has emphasized social and economic outcomes, very little attention has been paid to psychological well-being or mental health. Using a community sample of West Indian immigrants, we developed an empirical measure of the nature and frequency of transnational practices. The resulting Transnationalism Scale is examined for psychometric properties using an exploratory principal components factor analysis, and bivariate correlations with pre-existing measures of psychological well-being, perceived social support, and ethnic identity. Results reveal five factors, some of which are significantly correlated with measures of psychological well-being, social support, and ethnic identity. Findings suggest that transnationalism, as a construct, is a valid measure for this population. We argue that transnational ties shape various aspects of immigrants' lives. (PsycINFO Database Record (c) 2019 APA, all rights reserved)</t>
  </si>
  <si>
    <t>http://search.ebscohost.com.proxy-ub.rug.nl/login.aspx?direct=true&amp;db=psyh&amp;AN=2004-20061-003&amp;site=ehost-live&amp;scope=site</t>
  </si>
  <si>
    <t>Trauma, post-migration living difficulties, and social support as predictors of psychological adjustment in resettled Sudanese refugees.</t>
  </si>
  <si>
    <t>Schweitzer, Robert; Melville, Fritha; Steel, Zachary; Lacherez, Philippe</t>
  </si>
  <si>
    <t>2006-02392-011</t>
  </si>
  <si>
    <t>10.1111/j.1440-1614.2006.01766.x</t>
  </si>
  <si>
    <t>Emotional Adjustment; Mental Health; Refugees; Social Support; Trauma; Anxiety; Demographic Characteristics; Major Depression; Posttraumatic Stress Disorder; Somatization; Adulthood (18 yrs &amp; older); Male; Female</t>
  </si>
  <si>
    <t>Objective: This paper explores the impact of pre-migration trauma, post-migration living difficulties and social support on the current mental health of 63 resettled Sudanese refugees. Method: A semistructured interview including questionnaires assessing sociodemographic information, pre-migration trauma, anxiety, depression and posttraumatic stress, post-migration living difficulties and perceived social support were administered assisted by a bilingual community worker. Results: Resettled refugees from Sudan evidenced a history of trauma. Less than 5% met criteria for posttraumatic stress but 25% reported clinically high levels of psychological distress. The results indicate that social support - particularly perceived social support from the migrant's ethnic community - play a significant role in predicting mental health outcomes. Pre-migration trauma, family status and gender were also associated with mental health outcomes. Conclusions: Refugees in Australia may constitute a particularly vulnerable group in terms of mental health outcomes. Culturally specific sequelae in terms of social isolation and acculturation may be particularly problematic for these migrants. (PsycINFO Database Record (c) 2016 APA, all rights reserved)</t>
  </si>
  <si>
    <t>http://search.ebscohost.com.proxy-ub.rug.nl/login.aspx?direct=true&amp;db=psyh&amp;AN=2006-02392-011&amp;site=ehost-live&amp;scope=site</t>
  </si>
  <si>
    <t>Trauma, psychosocial factors, and help-seeking in three immigrant groups in Finland.</t>
  </si>
  <si>
    <t>Schubert, Carla C.; Punamäki, Raija-Leena; Suvisaari, Jaana; Koponen, Päivikki; Castaneda, Anu</t>
  </si>
  <si>
    <t>2018-06744-001</t>
  </si>
  <si>
    <t>10.1007/s11414-018-9587-x</t>
  </si>
  <si>
    <t>Health Care Services; Help Seeking Behavior; Immigration; Psychosocial Factors; Trauma; Acculturation; Anxiety; Depression (Emotion); Human Sex Differences; Life Satisfaction; Mental Health; Social Networks; Structural Equation Modeling; Trust (Social Behavior); Adulthood (18 yrs &amp; older); Young Adulthood (18-29 yrs); Thirties (30-39 yrs); Middle Age (40-64 yrs); Male; Female</t>
  </si>
  <si>
    <t>Multiple psychosocial factors influence help-seeking behavior among immigrants, but studies have focused on separate issues in single cultural groups. This study tested a model of help-seeking behavior among three ethnically different immigrant groups. Participants were 1356 Somali, Russian, and Kurdish immigrants (18–64 years). They reported past traumatic events, social network, acculturation indices, trust in services, and mental health as well as usage of mental and somatic health services. Structural equation modeling (SEM) with multigroup procedure was applied. First, past traumatic events were associated with seeking more mental health services, indirectly mediated through increased risk for mental health problems in all three ethnic groups. Second, acculturation played a significant role in the use of mental and somatic health services only in Kurds and social networks in Kurds and Russians. The unique culturally influenced dynamics in help-seeking behavior should be considered in the development of health services. (PsycINFO Database Record (c) 2020 APA, all rights reserved)</t>
  </si>
  <si>
    <t>http://search.ebscohost.com.proxy-ub.rug.nl/login.aspx?direct=true&amp;db=psyh&amp;AN=2018-06744-001&amp;site=ehost-live&amp;scope=site</t>
  </si>
  <si>
    <t>Traumatic exposure, acculturative stress and cultural orientation: The influence on PTSD, depressive and anxiety symptoms among refugees.</t>
  </si>
  <si>
    <t>Kartal, Dzenana; Alkemade, Nathan; Eisenbruch, Maurice; Kissane, David</t>
  </si>
  <si>
    <t>2018-30830-001</t>
  </si>
  <si>
    <t>10.1007/s00127-018-1532-z</t>
  </si>
  <si>
    <t>Acculturation; Mental Health; Posttraumatic Stress Disorder; Refugees; Trauma; Adulthood (18 yrs &amp; older); Young Adulthood (18-29 yrs); Thirties (30-39 yrs); Middle Age (40-64 yrs); Aged (65 yrs &amp; older); Male; Female</t>
  </si>
  <si>
    <t>Objective: Acculturation studies conducted with refugees have predominantly concentrated on investigating the impact of acculturative stress on mental health, and have neglected to investigate the impact of cultural orientations towards the host and ethnic cultures. Furthermore, exposure to traumas is highly prevalent in refugees and strongly associated with mental health outcomes, however, rarely included in investigations of acculturative process of refugees. Method: Using structural equation modelling, this study tested an integrated model of the relationship between traumatic exposure, acculturative stress, host and ethnic cultural orientations and posttraumatic stress disorder (PTSD), depression and anxiety symptoms among 138 Bosnian refugees resettled in Australia and Austria. Results: The model showed an overall good fit and noteworthy amount of variance indicating that traumatic exposure is the strongest direct and indirect predictor of PTSD, depression and anxiety symptoms. Furthermore, acculturative stress was identified as a significant risk factor influencing host cultural orientation, mediating the effect of traumatic exposure on all mental health outcomes. Conclusion: Acculturative stress and cultural and social stressors that are related to acculturation need to be addressed alongside provision of effective psychotherapy, especially since they are significant impediments to host cultural orientation and constructive engagement with mental health services in refugees. (PsycINFO Database Record (c) 2019 APA, all rights reserved)</t>
  </si>
  <si>
    <t>http://search.ebscohost.com.proxy-ub.rug.nl/login.aspx?direct=true&amp;db=psyh&amp;AN=2018-30830-001&amp;site=ehost-live&amp;scope=site</t>
  </si>
  <si>
    <t>Tuning in emotionally: Associations of cultural exposure with distal and proximal emotional fit in acculturating youth.</t>
  </si>
  <si>
    <t>Jasini, Alba; De Leersnyder, Jozefien; Phalet, Karen; Mesquita, Batja</t>
  </si>
  <si>
    <t>2018-37146-001</t>
  </si>
  <si>
    <t>10.1002/ejsp.2516</t>
  </si>
  <si>
    <t>Acculturation; Emotions; Immigration; Minority Groups; Exposure; High School Students; Student Attitudes; Childhood (birth-12 yrs); School Age (6-12 yrs); Adolescence (13-17 yrs); Adulthood (18 yrs &amp; older); Young Adulthood (18-29 yrs); Male; Female</t>
  </si>
  <si>
    <t>The more immigrant minorities are exposed to the majority culture, the more their emotional pattern fits that of majority culture members—a phenomenon termed emotional acculturation. To assess emotional fit, earlier studies compared minorities’ emotional experience with that of separate samples of 'distant' majority members in their country of residence. We added 'proximal' fit with the emotional experience of majority members in their social environment. Drawing on large random samples of immigrant minority and majority youth in Belgian high schools (N = 2,543), our study aimed (i) to test majority culture exposure and contact as predictors of emotional fit and (ii) to distinguish emotional fit with distal and proximal variants of majority culture. Minorities’ majority culture exposure predicted both distal and proximal emotional fit. In addition, contact with majority peers better predicted proximal fit. Our findings suggest that emotional acculturation is socially grounded in interactions with proximal majority members. (PsycInfo Database Record (c) 2020 APA, all rights reserved)</t>
  </si>
  <si>
    <t>http://search.ebscohost.com.proxy-ub.rug.nl/login.aspx?direct=true&amp;db=psyh&amp;AN=2018-37146-001&amp;site=ehost-live&amp;scope=site</t>
  </si>
  <si>
    <t>Turkish and Moroccan young adults in the Netherlands: The relationship between acculturation and psychological problems.</t>
  </si>
  <si>
    <t>Özbek, Emel; Bongers, Ilja L.; Lobbestael, Jill; van Nieuwenhuizen, Chijs</t>
  </si>
  <si>
    <t>2015-50012-012</t>
  </si>
  <si>
    <t>10.1007/s10903-015-0203-3</t>
  </si>
  <si>
    <t>Acculturation; Adult Attitudes; Externalization; Immigration; Internalization; Adulthood (18 yrs &amp; older); Young Adulthood (18-29 yrs); Male; Female</t>
  </si>
  <si>
    <t>This study investigated the relationship between acculturation and psychological problems in Turkish and Moroccan young adults living in the Netherlands. A sample of 131 healthy young adults aged between 18 and 24 years old, with a Turkish or Moroccan background was recruited using snowball sampling. Data on acculturation, internalizing and externalizing problems, beliefs about psychological problems, attributions of psychological problems and barriers to care were collected and analyzed using Latent Class Analysis and multinomial logistic regression. Three acculturation classes were identified in moderately to highly educated, healthy Turkish or Moroccan young adults: integration, separation and diffusion. None of the participants in the sample were marginalized or assimilated. Young adults reporting diffuse acculturation reported more internalizing and externalizing problems than those who were integrated or separated. Separated young adults reported experiencing more practical barriers to care than integrated young adults. Further research with a larger sample, including young adult migrants using mental health services, is required to improve our understanding of acculturation, psychological problems and barriers to care in this population. Including experiences of discrimination in the model might improve our understanding of the relationship between different forms of acculturation and psychological problems. (PsycINFO Database Record (c) 2016 APA, all rights reserved)</t>
  </si>
  <si>
    <t>http://search.ebscohost.com.proxy-ub.rug.nl/login.aspx?direct=true&amp;db=psyh&amp;AN=2015-50012-012&amp;site=ehost-live&amp;scope=site</t>
  </si>
  <si>
    <t>Turks in Bulgaria and the Netherlands: A comparative study of their acculturation orientations and outcomes.</t>
  </si>
  <si>
    <t>Dimitrova, Radosveta; Chasiotis, Athanasios; Bender, Michael; van de Vijver, Fons J. R.</t>
  </si>
  <si>
    <t>2014-03423-001</t>
  </si>
  <si>
    <t>10.1016/j.ijintrel.2014.01.001</t>
  </si>
  <si>
    <t>Acculturation; Minority Groups; Sociocultural Factors; Immigration; Adolescence (13-17 yrs); Adulthood (18 yrs &amp; older); Young Adulthood (18-29 yrs); Thirties (30-39 yrs); Middle Age (40-64 yrs); Aged (65 yrs &amp; older); Male; Female</t>
  </si>
  <si>
    <t>This study compared Turkish ethnic minority groups in Bulgaria and the Netherlands by examining (a) differences in acculturation orientations (mainstream culture adoption and heritage culture maintenance) as well as psychological and sociocultural outcomes and (b) the relation of acculturation orientations and outcomes in a group that is involved in acculturation for a long term (Turkish-Bulgarian) as compared to a group that is more recently involved in acculturation (Turkish-Dutch). Participants were 391 Turkish adults (280 in Bulgaria and 111 in the Netherlands). Results showed that Turkish-Bulgarians were more strongly oriented toward their mainstream culture, whereas Turkish-Dutch showed a stronger orientation toward their Turkish heritage culture. Turkish-Bulgarians reported a lower degree of life satisfaction. A good fit was found for a multigroup path model in which mainstream culture adoption was related to life satisfaction for both groups in the same way. The more stigmatized Turkish-Bulgarian group was more focused on the mainstream culture than the less stigmatized Turkish-Dutch group, contrary to expectations. We conclude that extant acculturation models need to pay more systematic attention to local issues, such as the history of the immigrant group. (PsycINFO Database Record (c) 2016 APA, all rights reserved)</t>
  </si>
  <si>
    <t>http://search.ebscohost.com.proxy-ub.rug.nl/login.aspx?direct=true&amp;db=psyh&amp;AN=2014-03423-001&amp;site=ehost-live&amp;scope=site</t>
  </si>
  <si>
    <t>Typologies of discrimination: Latinx youth’s experiences in an emerging immigrant community.</t>
  </si>
  <si>
    <t>Stein, Gabriela Livas; Cavanaugh, Alyson M.; Supple, Andrew J.; Kiang, Lisa; Gonzalez, Laura M.</t>
  </si>
  <si>
    <t>2018-64009-001</t>
  </si>
  <si>
    <t>10.1037/dev0000638</t>
  </si>
  <si>
    <t>Discrimination; Immigration; Ingroup Outgroup; Peers; Latinos/Latinas; Perpetrators; Racial and Ethnic Groups; Test Construction; Childhood (birth-12 yrs); School Age (6-12 yrs); Adolescence (13-17 yrs); Male; Female</t>
  </si>
  <si>
    <t>Few studies examine how racial-ethnic peer discrimination experiences of Latinx youth vary across the race-ethnicity of the perpetrator. In a sample of 170 Latinx early adolescents (Mage = 12.86 years, range = 10.33–15.23; 51% female), we identified 4 latent profiles of youth: (a) relatively low likelihood of experiencing discrimination regardless of peers’ racial-ethnic group (38%; low discrimination); (b) relatively high probability of experiencing discrimination from the majority outgroup peers (33%; outgroup); (c) relatively high likelihood of experiencing discrimination from ingroup peers (14%; ingroup); (d) the highest probability of discrimination experiences across the in- and outgroup (15%; high discrimination group). Overall, Latinx youth classified in a typology characterized by a higher likelihood of experiencing discrimination from both ingroup and outgroup peers also reported the worst internalizing and externalizing symptoms relative to those in the low discrimination typology. (PsycINFO Database Record (c) 2019 APA, all rights reserved)</t>
  </si>
  <si>
    <t>http://search.ebscohost.com.proxy-ub.rug.nl/login.aspx?direct=true&amp;db=psyh&amp;AN=2018-64009-001&amp;site=ehost-live&amp;scope=site</t>
  </si>
  <si>
    <t>Understanding differences in past year psychiatric disorders for Latinos living in the US.</t>
  </si>
  <si>
    <t>Alegria, Margarita; Shrout, Patrick E.; Woo, Meghan; Guarnaccia, Peter; Sribney, William; Vila, Doryliz; Polo, Antonio; Cao, Zhun; Mulvaney-Day, Norah; Torres, Maria; Canino, Glorisa</t>
  </si>
  <si>
    <t>2007-09923-004</t>
  </si>
  <si>
    <t>10.1016/j.socscimed.2007.03.026</t>
  </si>
  <si>
    <t>Acculturation; Immigration; Mental Disorders; Psychosocial Factors; Latinos/Latinas; Anxiety Disorders; Epidemiology; Adulthood (18 yrs &amp; older); Male; Female</t>
  </si>
  <si>
    <t>This study seeks to identify risk factors for psychiatric disorders that may explain differences in nativity effects among adult Latinos in the USA. We evaluate whether factors related to the processes of acculturation and enculturation, immigration factors, family stressors and supports, contextual factors, and social status in the US account for differences in 12-month prevalence of psychiatric disorders for eight subgroups of Latinos. We report results that differentiate Latino respondents by country of origin and age at immigration (whether they were US-born or arrived before age 6: In-US-as-Child [IUSC]; or whether they arrived after age 6: later-arrival immigrants [LAI]). After age and gender adjustments, LAI Mexicans and IUSC Cubans reported a significantly lower prevalence of depressive disorders than IUSC Mexicans. Once we adjust for differences in family stressors, contextual factors and social status factors, these differences are no longer significant. The risk for anxiety disorders appears no different for LAI compared to IUSC Latinos, after age and gender adjustments. For substance use disorders, family factors do not offset the elevated risk of early exposure to neighborhood disadvantage, but coming to the US after age 25 does offset it. Family conflict and burden were consistently related to the risk of mood disorders. Our findings suggest that successful adaptation into the US is a multidimensional process that includes maintenance of family harmony, integration in advantageous US neighborhoods, and positive perceptions of social standing. Our results uncover that nativity may be a less important independent risk factor for current psychiatric morbidity than originally thought. (PsycINFO Database Record (c) 2016 APA, all rights reserved)</t>
  </si>
  <si>
    <t>http://search.ebscohost.com.proxy-ub.rug.nl/login.aspx?direct=true&amp;db=psyh&amp;AN=2007-09923-004&amp;site=ehost-live&amp;scope=site</t>
  </si>
  <si>
    <t>Understanding ethnic and nativity-related differences in low cardiovascular risk status among Mexican-Americans and non-Hispanic Whites.</t>
  </si>
  <si>
    <t>Kershaw, Kiarri N.; Greenlund, Kurt J.; Stamler, Jeremiah; Shay, Christina M.; Daviglus, Martha L.</t>
  </si>
  <si>
    <t>2012-33433-031</t>
  </si>
  <si>
    <t>10.1016/j.ypmed.2012.09.019</t>
  </si>
  <si>
    <t>At Risk Populations; Cardiovascular Disorders; Health Promotion; Racial and Ethnic Differences; Risk Factors; Mexican Americans; Whites; Adulthood (18 yrs &amp; older); Male; Female</t>
  </si>
  <si>
    <t>Objective: Recent guidelines highlight the importance of improving cardiovascular health in the general population in addition to disease prevention among high risk individuals. We investigated factors associated with ethnic and nativity-related differences in the prevalence of low cardiovascular risk (optimal levels of all major cardiovascular risk factors). Methods: We used logistic regression to estimate differences in likelihood of being low risk (not currently smoking; no diabetes; untreated total cholesterol &lt;200 mg/dL; untreated blood pressure &lt;120/&lt;80; and body mass index &lt;25 kg/m²) among 8693 foreign- and U.S.-born Mexican-American and non-Hispanic White 2003–2008 U.S. National Health and Nutrition Examination Survey participants before and after adjustment for socioeconomic, lifestyle, and acculturation-related factors. Results: Foreign-born Mexican-Americans were more likely to be low risk than non-Hispanic Whites after adjustment for all covariates (Odds Ratio [OR]: 1.53; 95% Confidence Interval [CI]: 1.00, 2.34). In contrast, U.S.-born Mexican-Americans were less likely to be low risk compared to Whites (OR: 0.60; 95% CI: 0.43, 0.84). Differences between foreign-born and U.S.-born Mexican-Americans were largely attenuated after adjustment for acculturation indicators. Conclusions: Our findings support the healthy migrant hypothesis and suggest that acculturation-related factors may be important drivers of ethnic and nativity-related differences in low cardiovascular risk. (PsycINFO Database Record (c) 2016 APA, all rights reserved)</t>
  </si>
  <si>
    <t>http://search.ebscohost.com.proxy-ub.rug.nl/login.aspx?direct=true&amp;db=psyh&amp;AN=2012-33433-031&amp;site=ehost-live&amp;scope=site</t>
  </si>
  <si>
    <t>Understanding health, violence, and acculturation among South Asian women in the US.</t>
  </si>
  <si>
    <t>Nagaraj, Nitasha Chaudhary; Vyas, Amita N.; McDonnell, Karen A.; DiPietro, Loretta</t>
  </si>
  <si>
    <t>2018-19713-013</t>
  </si>
  <si>
    <t>10.1007/s10900-017-0450-4</t>
  </si>
  <si>
    <t>Acculturation; Child Abuse; Domestic Violence; Human Females; South Asian Cultural Groups; Experiences (Events); Test Construction; Childhood Adversity; Adulthood (18 yrs &amp; older); Young Adulthood (18-29 yrs); Thirties (30-39 yrs); Middle Age (40-64 yrs); Female</t>
  </si>
  <si>
    <t>The devastating effects of experiencing violence in childhood are seen well into adulthood. This has been particularly difficult to assess among South Asians living in the U.S., due to a lack of disaggregated data on this ethnic group. In a web-based survey administered to a convenience sample of South Asian women living in the U.S. (n = 535), information was gathered on experience/exposure to childhood violence; adult intimate partner violence; and adverse health outcomes, including ever suicide ideation/attempt, experiences of quality of life and body esteem in adulthood. Further, an individual’s acculturation levels were measured specifically looking at cultural identity which was guided by Berry’s biculturalism model. This study found that acculturation status is a key factor with respect to childhood verbal, physical, and sexual abuse, as well as body esteem and an individual’s well-being. These results suggest that acculturation plays a key role for childhood violence, as well as key adult health indicators. The findings in this study, suggest that more research is warranted to better understand the complex relationships between acculturation status and health. While studies of South Asian immigrants have increased substantially, the study on how acculturation influences family violence and health outcomes has lagged behind. The findings in this study will provide guidance for future work in understanding how acculturation can play a key role in addressing the health and well-being of South Asian women in the U.S. (PsycINFO Database Record (c) 2019 APA, all rights reserved)</t>
  </si>
  <si>
    <t>http://search.ebscohost.com.proxy-ub.rug.nl/login.aspx?direct=true&amp;db=psyh&amp;AN=2018-19713-013&amp;site=ehost-live&amp;scope=site</t>
  </si>
  <si>
    <t>Understanding infant feeding choices among Hmong-American women in Saint Paul, MN.</t>
  </si>
  <si>
    <t>Feliciano, Shannon Marie</t>
  </si>
  <si>
    <t>2011-99190-574</t>
  </si>
  <si>
    <t>Breast Feeding; Choice Behavior; Human Females; Mothers; Traditions; Immigration; Latinos/Latinas; Adulthood (18 yrs &amp; older); Female</t>
  </si>
  <si>
    <t>To understand infant-feeding patterns among Hmong women in St. Paul, MN, this qualitative study used a convenience sample of 21 Hmong mothers who had at least 1 child under the age of 2. Drawing on interviews and questionnaires, this researcher explored (a) how participants described their traditional and American cultural traditions, beliefs, and values, (b) their infant-feeding practices, and (c) how their infant-feeding practices are shaped by adaptations to traditional and American cultures. In this sample, those women who had recently immigrated to the United States were more likely to exclusively use formula. Interviews suggest that American norms of breastfeeding in public, hectic lifestyles in a new country, and lack of cultural knowledge about pumping and storing breast milk influenced 1st- and 1.5-generation participants to exclusively use formula. For 2nd-generation participants, the awkwardness of breastfeeding in public was also cited as an important influence on their decision to use formula. However, quite different from 1st- and 1.5-generation women, 2nd-generation women were more educated and more likely to be employed in less segregated and professional occupations, which exposed them to mothers of different backgrounds who were breastfeeding. This exposure to breastfeeding mothers appeared to influence breastfeeding initiation among 2nd-generation Hmong. This study also found that negative social support from participants’ mothers and mothers-in-law, and positive social support from sisters and sisters-in-law had a strong impact on their infant-feeding decisions. Unlike previous research among Hispanic immigrants, this study revealed that 2nd-generation Hmong immigrants were slightly more likely to include some form of breastfeeding in their infant-feeding method. This study also revealed the importance of social support and the role of the ethnic community in infant-feeding choices. More research is needed, however, to further clarify the relationship between acculturation and social support on breastfeeding initiation and duration among various immigrant populations. (PsycINFO Database Record (c) 2016 APA, all rights reserved)</t>
  </si>
  <si>
    <t>http://search.ebscohost.com.proxy-ub.rug.nl/login.aspx?direct=true&amp;db=psyh&amp;AN=2011-99190-574&amp;site=ehost-live&amp;scope=site</t>
  </si>
  <si>
    <t>Understanding psychopathology in migrants: A mixed categorical-dimensional approach.</t>
  </si>
  <si>
    <t>Braca, Mauro; Berardi, Domenico; Mencacci, Elisa; Murri, Martino Belvederi; Mimmi, Stefano; Allegri, Fabio; Mazzi, Fausto; Menchetti, Marco; Tarricone, Ilaria</t>
  </si>
  <si>
    <t>2014-12992-005</t>
  </si>
  <si>
    <t>10.1177/0020764013484237</t>
  </si>
  <si>
    <t>Medical Diagnosis; Mental Disorders; Psychiatric Symptoms; Psychopathology; Immigration; Adulthood (18 yrs &amp; older); Male; Female</t>
  </si>
  <si>
    <t>Background: Literature on mental disorders in migrants is constantly increasing. Only a few studies describe psychopathological dimensions in migrants over their nosographic diagnoses; however, there is a growing literature about the greater utility of a categorical-dimensional approach, rather than a solely categorical approach, in the understanding of mental disorders. The aim of this paper is to describe the phenomenology of mental disorders in migrants referred to the Transcultural Psychiatric Team of Bologna (BoTPT), by analysing the psychopathological dimensions that underlie their clinical diagnoses. Methods: We recruited all migrants who attended the BoTPT between May 1999 and July 2009. The psychopathological assessment was conducted with the Association for Methodology and Documentation in Psychiatry (AMDP) and clinical diagnoses were formulated according to ICD-10. We proceeded through a two-step analysis: (1) comparing the prevalence rates of psychopathological symptoms across diagnoses; then (2) conducting a factor analysis to assess how those symptoms configure psychopathological dimensions and how these dimensions underlie clinical diagnoses. Results: As expected, we found significant associations between diagnoses and the prevalence of their core psychopathological symptoms. Factor analysis revealed a strong polymorphism of the psychopathological presentation of mental disorders and unexpectedly showed that in each diagnostic cluster, the first extracted factor was not composed of core symptoms. Conclusions: A mixed categorical-dimensional approach seems to improve the description of the psychopathology among migrants, as it adds relevant information regarding psychopathological dimensions useful to the understanding of the peculiar clinical expressivity of our patients. (PsycINFO Database Record (c) 2016 APA, all rights reserved)</t>
  </si>
  <si>
    <t>http://search.ebscohost.com.proxy-ub.rug.nl/login.aspx?direct=true&amp;db=psyh&amp;AN=2014-12992-005&amp;site=ehost-live&amp;scope=site</t>
  </si>
  <si>
    <t>Understanding the contemporary Muslim immigrant in the United States.</t>
  </si>
  <si>
    <t>Kulungu, Mustapha N.</t>
  </si>
  <si>
    <t>2009-99090-459</t>
  </si>
  <si>
    <t>Adjustment; Immigration; Muslims; Religion; Social Issues</t>
  </si>
  <si>
    <t>This qualitative study was designed to explore and describe factors that relate to the lived experience of Muslim immigrant's diaspora in the United States. The study explores the essence of integration in the new culture and lived narrative stories as described by 12 participants living in the local community of Bakersfield, California. Survey and interviews were qualitatively conducted and analyzed using a descriptive, phenomenological, study, inspired approach. In this study, participants were interviewed in-depth on the topics of adaptation and integration to the host society. Interviewees described perspectives of differences of life style in their countries of origin and the United States, the adjustment and compromising that they had to make in the new context; (a) identity formation; (b) cultural linguistic; (c) assimilation/acculturation, and (d) nationalism and locating Muslim in time and space, five major themes emerged: (a) language barriers, (b) importance of the masjid (mosque), (c) impact of cultural upbringing, (d) need to maintain religious values, and (e) public perception of Muslims. Although cultural upbringing shaped their worldview, this study revealed that religion does play a role in Muslim immigrants' social integration and life adaptation. Key words. Muslim immigrant, contemporary Muslim, Islam, al-Qiyaas wal-Ijtihad. (PsycINFO Database Record (c) 2016 APA, all rights reserved)</t>
  </si>
  <si>
    <t>http://search.ebscohost.com.proxy-ub.rug.nl/login.aspx?direct=true&amp;db=psyh&amp;AN=2009-99090-459&amp;site=ehost-live&amp;scope=site</t>
  </si>
  <si>
    <t>Understanding the integration experiences of korean canadians.</t>
  </si>
  <si>
    <t>Kim, Bong-Hwan</t>
  </si>
  <si>
    <t>2015-99110-198</t>
  </si>
  <si>
    <t>Immigration; Social Behavior; Social Capital; South Asian Cultural Groups</t>
  </si>
  <si>
    <t>The number of Korean immigrants in Manitoba increased significantly in a decade since the introduction of the Manitoba Provincial Nominee Program (PNP). Recent statistics indicate that Manitoba attracted over 13,000 immigrants in 2009, many coming from Korea. The purpose of this research is to understand and measure the integration experiences of Korean immigrants in Manitoba in terms of their social, political, education and employment domains. The primary theory used in this research is social capital. Theories of acculturation, ethnic economy, power and stratification are also used to situate my research. Data was collected using mixed methods comprising a survey of 260 Korean Canadians living in Winnipeg and qualitative interviews with 12 respondents. The analysis shows, among other things, high levels of racism felt by Korean immigrants in Winnipeg. While this perception and daily encounter of discrimination in the community would impede Korean immigrants’ integration into Canada, there also is a strong will to succeed in the community through accessing existing social capital and a willingness to invest in social capital. The contributions made in the development and operationalization of social capital in terms of willingness to invest and social capital mindset are documented. Several program ideas are offered for policy-makers and future research areas have been identified. The development of a political engagement index provides justification for observations made by the social capital theory and immigrant integration literature. (PsycINFO Database Record (c) 2016 APA, all rights reserved)</t>
  </si>
  <si>
    <t>http://search.ebscohost.com.proxy-ub.rug.nl/login.aspx?direct=true&amp;db=psyh&amp;AN=2015-99110-198&amp;site=ehost-live&amp;scope=site</t>
  </si>
  <si>
    <t>Understanding the relation between participating in the new culture and identification: Two studies with Latin American immigrants.</t>
  </si>
  <si>
    <t>Cárdenas, Diana; de la Sablonnière, Roxane</t>
  </si>
  <si>
    <t>2017-26324-004</t>
  </si>
  <si>
    <t>10.1177/0022022117709983</t>
  </si>
  <si>
    <t>Acculturation; Immigration; Participation; Adulthood (18 yrs &amp; older); Young Adulthood (18-29 yrs); Thirties (30-39 yrs); Middle Age (40-64 yrs); Male; Female</t>
  </si>
  <si>
    <t>Participation in a new culture and identification with a new culture are important issues faced by millions of immigrants today. Literature describes three possible relations between participation and identification. First, some researchers postulate that they are part of the basic acculturation phenomenon and hence equivalent (Model 1). Others postulate that either identification with a new culture encourages participation in it (Model 2) or participation helps identification with a new culture (Model 3). The goal of the present article was to determine which model best describes the relation between participating in a new culture and identification with it. In Study 1, Latin American immigrants (N = 146) answered a questionnaire, and the fit of each of the three models was compared using path analyses. Results showed that the best fitting model was one where participation in the new culture positively predicted identification with it. These results were confirmed in Study 2, where semistructured interviews of 15 immigrants were analyzed. The two studies in the present article help us understand the relation between participation in the new culture and identification as well as the scope of the changes brought on by immigration. (PsycINFO Database Record (c) 2018 APA, all rights reserved)</t>
  </si>
  <si>
    <t>http://search.ebscohost.com.proxy-ub.rug.nl/login.aspx?direct=true&amp;db=psyh&amp;AN=2017-26324-004&amp;site=ehost-live&amp;scope=site</t>
  </si>
  <si>
    <t>Understanding transnational political involvement among Senegalese migrants: The role of acculturation preferences and perceived discrimination.</t>
  </si>
  <si>
    <t>Green, Eva G. T.; Sarrasin, Oriane; Maggi, Jenny</t>
  </si>
  <si>
    <t>2014-23102-001</t>
  </si>
  <si>
    <t>10.1016/j.ijintrel.2014.05.001</t>
  </si>
  <si>
    <t>Acculturation; African Cultural Groups; Discrimination; Immigration; Political Participation; Collective Behavior; Strategies; Adulthood (18 yrs &amp; older); Young Adulthood (18-29 yrs); Thirties (30-39 yrs); Middle Age (40-64 yrs); Male; Female</t>
  </si>
  <si>
    <t>In political debates, migrants’ political involvement in their countries of origin and successful adaptation to receiving countries are often portrayed as incompatible. We address this concern by examining the links between acculturation preferences, perceived discrimination, and migrants’ transnational political involvement in their country of origin. In line with collective action research, a cross-sectional questionnaire study (N =84) among Senegalese migrants in Paris (France) and Geneva (Switzerland) examined three pathways to transnational political involvement (motivations and actual behaviour). Perceived discrimination, the grievances pathway, was positively related to both transnational motivations (but only when desire to adopt the receiving culture was low) and political behaviour in Senegal. Desire to adopt the culture of the receiving society as an acculturation preference, the embeddedness pathway, was also positively linked to transnational motivations and political behaviour. Finally, desire to maintain the culture of origin as an acculturation preference—the collective identification pathway—was unrelated to transnational political involvement. These findings underscore the compatibility of transnational political involvement in countries of origin and adaptation to receiving societies. We discuss the pivotal role of political psychology in bringing together acculturation psychology and transnationalism studies. (PsycINFO Database Record (c) 2016 APA, all rights reserved)</t>
  </si>
  <si>
    <t>http://search.ebscohost.com.proxy-ub.rug.nl/login.aspx?direct=true&amp;db=psyh&amp;AN=2014-23102-001&amp;site=ehost-live&amp;scope=site</t>
  </si>
  <si>
    <t>Undocumented migration and the residential segregation of Mexicans in new destinations.</t>
  </si>
  <si>
    <t>Hall, Matthew; Stringfield, Jonathan</t>
  </si>
  <si>
    <t>2014-24416-006</t>
  </si>
  <si>
    <t>10.1016/j.ssresearch.2014.03.009</t>
  </si>
  <si>
    <t>Human Migration; Immigration; Social Integration; Social Mobility; Blacks; Mexican Americans; Whites</t>
  </si>
  <si>
    <t>This study uses data from the 2000 Census and 2005–2009 American Community Survey to examine the impact of undocumented Mexican migration to new destinations on residential segregation between Mexican immigrants and native-born whites and native-born blacks. We find that Mexican-white and Mexican-black segregation is higher in new Mexican gateways than in established areas and that, for Mexican-immigrant segregation from whites, this heightened level of residential segregation in new destinations can be explained by the high presence of unauthorized Mexican immigrants living there which tends to bolster segregation between the two groups. By contrast, Mexican-immigrant segregation from native-born blacks tends to be lower in areas with larger undocumented populations, a pattern that is especially true in new destinations. Neither of these opposing effects of legal status on Mexican-immigrant segregation can be explained by compositional differences in assimilation (English ability and earnings) between documented and undocumented immigrants nor by structural variation in metropolitan areas, suggesting a unique association between legal status and segregation. (PsycINFO Database Record (c) 2017 APA, all rights reserved)</t>
  </si>
  <si>
    <t>http://search.ebscohost.com.proxy-ub.rug.nl/login.aspx?direct=true&amp;db=psyh&amp;AN=2014-24416-006&amp;site=ehost-live&amp;scope=site</t>
  </si>
  <si>
    <t>Unhealthy assimilation or persistent health advantage? A longitudinal analysis of immigrant health in the United States.</t>
  </si>
  <si>
    <t>Lu, Yao; Denier, Nicole; Wang, Julia Shu-Huah; Kaushal, Neeraj</t>
  </si>
  <si>
    <t>2017-53814-014</t>
  </si>
  <si>
    <t>10.1016/j.socscimed.2017.11.019</t>
  </si>
  <si>
    <t>Acculturation; Health Behavior; Immigration; Adulthood (18 yrs &amp; older); Young Adulthood (18-29 yrs); Thirties (30-39 yrs); Middle Age (40-64 yrs); Male; Female</t>
  </si>
  <si>
    <t>Existing evidence on immigrant health assimilation, which is largely based on cross-sectional data, suggests that immigrants' initial health advantage erodes over time. This study uses longitudinal data to directly compare the self-rated health trajectories of immigrants and the native-born population. Data come from four panels of the Survey of Income and Program Participation (1996, 2001, 2004, and 2008), with each panel containing 2–4 years of health information. Results show that immigrants’ self-rated health remained stable during the period under study, but there was a concomitant decline in health for the native-born population. This result pointed to a persistent health advantage of immigrants during the period under study. The pattern held for immigrants of different length of residence and was especially salient for those originally from Latin America and Asia. Our findings that immigrants maintain their health advantage do not support the pattern of unhealthy assimilation commonly reported in cross-sectional studies. (PsycINFO Database Record (c) 2017 APA, all rights reserved)</t>
  </si>
  <si>
    <t>http://search.ebscohost.com.proxy-ub.rug.nl/login.aspx?direct=true&amp;db=psyh&amp;AN=2017-53814-014&amp;site=ehost-live&amp;scope=site</t>
  </si>
  <si>
    <t>United States' international retirement migration: The reasons for retiring to the environs of Lake Chapala, Mexico.</t>
  </si>
  <si>
    <t>Sunil, T. S.; Rojas, Viviana; Bradley, Don E.</t>
  </si>
  <si>
    <t>2007-10788-002</t>
  </si>
  <si>
    <t>10.1017/S0144686X07005934</t>
  </si>
  <si>
    <t>Aging; Human Migration; Retirement; Welfare Services (Government); Interpersonal Relationships; Adulthood (18 yrs &amp; older); Middle Age (40-64 yrs); Aged (65 yrs &amp; older)</t>
  </si>
  <si>
    <t>Most studies of retirement migration in the United States focus at the national level, and there is comparatively little information about the retirees who cross international borders in their search for new homes. Retirement migrants are unusual in that many select destinations in less-developed countries, contrary to the general pattern of migration from poor to rich countries in search of jobs, higher incomes and a better standard of life. This study has examined the reasons for retirement migration from the United States (US) to the Lake Chapala area of the Mexican state of Jalisco. A non-random sample of 211 US retirees was surveyed using a self-completion, semi-structured questionnaire that included items about the decision to move to Mexico, the quality of life at the destination, cultural adaptation, and aspects of personal identity, financial security and health-care. Four major reasons for migrating to Mexico were identified: financial circumstances, the natural environment, a sense of community and friendship, and a better quality of life. While the migrations contradict much taken-for-granted and popular knowledge about migration patterns around the world, they have important implications for the ways of life, social relationships and welfare of the most recent cohort of older people. More in-depth multidisciplinary studies are needed to increase understanding of this evolving phenomenon. (PsycINFO Database Record (c) 2016 APA, all rights reserved)</t>
  </si>
  <si>
    <t>http://search.ebscohost.com.proxy-ub.rug.nl/login.aspx?direct=true&amp;db=psyh&amp;AN=2007-10788-002&amp;site=ehost-live&amp;scope=site</t>
  </si>
  <si>
    <t>Unprotected anal intercourse among immigrant Latino MSM: The role of charcteristics of the person and the sexual encounter.</t>
  </si>
  <si>
    <t>Zea, Maria Cecilia; Reisen, Carol A.; Poppen, Paul J.; Bianchi, Fernanda T.</t>
  </si>
  <si>
    <t>2009-12126-011</t>
  </si>
  <si>
    <t>10.1007/s10461-008-9488-8</t>
  </si>
  <si>
    <t>Individual Differences; Male Homosexuality; Sexual Risk Taking; Same Sex Intercourse; Demographic Characteristics; Immigration; Sociocultural Factors; Latinos/Latinas; Adulthood (18 yrs &amp; older); Male</t>
  </si>
  <si>
    <t>Theoretical models of sexual risk-taking have traditionally focused on personal characteristics, but conceptual approaches emphasizing the social and situational context have also been proposed. This study examined the impact of characteristics of the person and of the sexual encounter on unprotected anal intercourse (UAI) among 482 immigrant Latino MSM. Analyses included logistic regression and hierarchical linear modeling. The personal characteristic of self-efficacy for safer sex was negatively associated with UAI over the previous three months, at the most recent encounter, and over multiple encounters reported by each participant. In addition, a cross-level interaction of self-efficacy at the person-level and sexual desire at the encounter-level showed that increased sexual desire was associated with greater likelihood of UAI for those with low self-efficacy, but not those with high self-efficacy. Likelihood of UAI was also linked to the situational characteristics of closeness to the partner, seroconcordance, and concern about STIs in the encounter. (PsycINFO Database Record (c) 2016 APA, all rights reserved)</t>
  </si>
  <si>
    <t>http://search.ebscohost.com.proxy-ub.rug.nl/login.aspx?direct=true&amp;db=psyh&amp;AN=2009-12126-011&amp;site=ehost-live&amp;scope=site</t>
  </si>
  <si>
    <t>Unraveling ethnic density effects, acculturation, and adjustment: The case of russian‐speaking immigrants from the former soviet union.</t>
  </si>
  <si>
    <t>Jurcik, Tomas; Yakobov, Esther; Solopieieva‐Jurcikova, Liza; Ahmed, Rana; Sunohara, Momoka; Ryder, Andrew G.</t>
  </si>
  <si>
    <t>2015-28105-009</t>
  </si>
  <si>
    <t>10.1002/jcop.21708</t>
  </si>
  <si>
    <t>Acculturation; Distress; Immigration; Social Adjustment; Social Support; Adulthood (18 yrs &amp; older); Male; Female</t>
  </si>
  <si>
    <t>There has been limited advancement in the empirical literature unpacking the ethnic density effect, a social ecological phenomenon that may help explain some of the conflicting findings in bidimensional acculturation research. In this study, we developed a brief measure of perceived ethnic density in a community sample of Russian‐speaking immigrants (N = 269) in Montreal, Canada, finding it to be a superior predictor of distress to objective linguistic density. Acquiring social support partly mediated the relation between perceived ethnic density and lower distress. Furthermore, the relation between heritage acculturation and distress was double moderated by perceived ethnic density and time lived in the neighborhood. A person–ecology match involving heritage acculturation and ethnic density was related to better psychological adjustment for participants who had resided in their neighborhood for less than, but not more than, 2 years. Clinical and community research implications for using measures of perceived ethnic density and acculturation measurement are discussed. (PsycINFO Database Record (c) 2019 APA, all rights reserved)</t>
  </si>
  <si>
    <t>http://search.ebscohost.com.proxy-ub.rug.nl/login.aspx?direct=true&amp;db=psyh&amp;AN=2015-28105-009&amp;site=ehost-live&amp;scope=site</t>
  </si>
  <si>
    <t>Usefulness of psychosocial theory variables in explaining fat-related dietary behavior in Chinese Americans: Association with degree of acculturation.</t>
  </si>
  <si>
    <t>Liou, Doreen; Contento, Isobel R.</t>
  </si>
  <si>
    <t>Journal of Nutrition Education</t>
  </si>
  <si>
    <t>2003-06426-002</t>
  </si>
  <si>
    <t>10.1016/S1499-4046(06)60354-0</t>
  </si>
  <si>
    <t>BC Decker</t>
  </si>
  <si>
    <t>Chinese Cultural Groups; Diets; Fatty Acids; Health Behavior; Psychosocial Factors; Acculturation; Food Preferences; Intention; Models; Theories; Adulthood (18 yrs &amp; older); Young Adulthood (18-29 yrs); Thirties (30-39 yrs); Middle Age (40-64 yrs); Aged (65 yrs &amp; older); Male; Female</t>
  </si>
  <si>
    <t>Examined the usefulness of variables from psychosocial models of health behavior in explaining fat-related dietary behavior among Chinese Americans. 600 Chinese Americans (aged 25-70 yrs) completed questionnaires regarding demographic factors, degree of acculturation, food preferences, and 13 social psychological scales derived from the Theory of Planned Behavior, the Healthy Belief Model, and Social Cognitive Theory, intention to reduce dietary fat, and behaviors related to the selection of reduced-fat diets. Results show that attitude, overall health concern, and self-efficacy accounted for 58% of the variance in behavioral intention for all Ss. Attitude, perceived barriers, and self-efficacy accounted for 19% of the variance in the prediction of dietary fat reduction behaviors. In general, a gradient was seen in the increased predictiveness of each regression model by degree of acculturation of the immigrants to US culture: predictiveness for behavior ranged from 15% for the least to 34% for the most acculturated. Acculturation was significantly related to declines in the influence of habit and of social norms. These effects were not seen by length of residency. (PsycINFO Database Record (c) 2016 APA, all rights reserved)</t>
  </si>
  <si>
    <t>http://search.ebscohost.com.proxy-ub.rug.nl/login.aspx?direct=true&amp;db=psyh&amp;AN=2003-06426-002&amp;site=ehost-live&amp;scope=site</t>
  </si>
  <si>
    <t>Using family history and health risk behaviors to determine predictors of depressive symptoms in Central American immigrant mothers.</t>
  </si>
  <si>
    <t>Maradiegue, Ann H.; Lyon, Debra E.; Meyers, Melanie F.</t>
  </si>
  <si>
    <t>Nursing &amp; Health Sciences</t>
  </si>
  <si>
    <t>2013-19837-014</t>
  </si>
  <si>
    <t>10.1111/nhs.12023</t>
  </si>
  <si>
    <t>Health Behavior; Immigration; Major Depression; Mother Child Relations; Family History; Risk Taking; Symptoms; Health Risk Behavior; Childhood (birth-12 yrs); School Age (6-12 yrs); Adolescence (13-17 yrs); Adulthood (18 yrs &amp; older); Young Adulthood (18-29 yrs); Thirties (30-39 yrs); Middle Age (40-64 yrs); Female</t>
  </si>
  <si>
    <t>In this study, depressive symptomatology in Central American immigrant mothers with adolescent daughters living in the USA was explored. Using the Center for Epidemiologic Studies Depression Short Scale, the Family History Scale, an Acculturation Scale, and the core section of the Youth Conduct Disorder scale from the National Health and Nutrition Examination Survey, 101 Central American mothers were analyzed to identify predictors of depressive symptoms. Over one‐third of the participants had depressive symptoms. There were no significant findings for acculturation as a predictor of depressive symptoms. Predictors that related to depressive symptomatology were a positive family history of depression, marital status (divorced), and having a daughter engaged in health risk behaviors. Clinicians working with mothers from Central America should consider risk of depression, whether there is a family history of depression; and additional stresses, such as the health risk behaviors of adolescents. Unprecedented levels of immigration around the world underscore the importance of meeting the healthcare needs of culturally‐diverse groups. (PsycInfo Database Record (c) 2020 APA, all rights reserved)</t>
  </si>
  <si>
    <t>http://search.ebscohost.com.proxy-ub.rug.nl/login.aspx?direct=true&amp;db=psyh&amp;AN=2013-19837-014&amp;site=ehost-live&amp;scope=site</t>
  </si>
  <si>
    <t>Using participatory design methodologies to co-design and culturally adapt the Spanish version of the Mental Health eClinic: Qualitative study.</t>
  </si>
  <si>
    <t>Ospina-Pinillos, Laura; Davenport, Tracey; Mendoza Diaz, Antonio; Navarro-Mancilla, Alvaro; Scott, Elizabeth M.; Hickie, Ian B.</t>
  </si>
  <si>
    <t>Journal of Medical Internet Research</t>
  </si>
  <si>
    <t>2019-55354-001</t>
  </si>
  <si>
    <t>10.2196/14127</t>
  </si>
  <si>
    <t>JMIR Publications</t>
  </si>
  <si>
    <t>Primary Health Care; Quality of Care; Telemedicine; Latinos/Latinas; Electronic Health Services; Client Participation; Racial and Ethnic Groups; Test Construction; Health Information; Childhood (birth-12 yrs); School Age (6-12 yrs); Adolescence (13-17 yrs); Adulthood (18 yrs &amp; older); Young Adulthood (18-29 yrs); Thirties (30-39 yrs); Middle Age (40-64 yrs); Aged (65 yrs &amp; older); Male; Female</t>
  </si>
  <si>
    <t>Background: The Mental Health eClinic (MHeC) aims to deliver best-practice clinical services to young people experiencing mental health problems by making clinical care accessible, affordable, and available to young people whenever and wherever they need it most. The original MHeC consists of home page with a visible triage system for those requiring urgent help; a online physical and mental health self-report assessment; a results dashboard; a booking and videoconferencing system; and the generation of a personalized well-being plan. Populations who do not speak English and reside in English-speaking countries are less likely to receive mental health care. In Australia, international students have been identified as disadvantaged compared with their peers; have weaker social support networks; and have higher rates of psychological distress. This scenario is acquiring significant relevance as Spanish-speaking migration is rapidly growing in Australia, and the mental health services for culturally and linguistically diverse populations are limited. Having a Spanish version (MHeC-S) of the Mental Health eClinic would greatly benefit these students. Objective: We used participatory design methodologies with users (young people aged 16-30 years, supportive others, and health professionals) to (1) conduct workshops with users to co-design and culturally adapt the MHeC; (2) inform the development of the MHeC-S alpha prototype; (3) test the usability of the MHeC-S alpha prototype; (4) translate, culturally adapt, and face-validate the MHeC-S self-report assessment; and (5) collect information to inform its beta prototype. Methods: A research and development cycle included several participatory design phases: co-design workshops; knowledge translation; language translation and cultural adaptation; and rapid prototyping and user testing of the MHeC-S alpha prototype. Results: We held 2 co-design workshops with 17 users (10 young people, 7 health professionals). A total of 15 participated in the one-on-one user testing sessions (7 young people, 5 health professionals, 3 supportive others). We collected 225 source documents, and thematic analysis resulted in 5 main themes (help-seeking barriers, technology platform, functionality, content, and user interface). A random sample of 106 source documents analyzed by 2 independent raters revealed almost perfect agreement for functionality (kappa = .86; P &lt; .001) and content (kappa = .92; P &lt; .001) and substantial agreement for the user interface (kappa = .785; P &lt; .001). In this random sample, no annotations were coded for help-seeking barriers or the technology platform. Language was identified as the main barrier to getting medical or psychological services, and smartphones were the most-used device to access the internet. Acceptability was adequate for the prototype’s 5 main elements: home page and triage system, self-report assessment, dashboard of results, booking and video visit system, and personalized well-being plan. The data also revealed gaps in the alpha prototype, such as the need for tailored assessment tools and a greater integration with Spanish-speaking services and communities. Spanish-language apps and e-tools, as well as online mental health information, were lacking. Conclusions: Through a research and development process, we co-designed and culturally adapted, developed and user tested, and evaluated the MHeC-S. By translating and culturally adapting the MHeC to Spanish, we aimed to increase accessibility and availability of e-mental health care in the developing world, and assist vulnerable populations that have migrated to English-speaking countries. (PsycInfo Database Record (c) 2020 APA, all rights reserved)</t>
  </si>
  <si>
    <t>http://search.ebscohost.com.proxy-ub.rug.nl/login.aspx?direct=true&amp;db=psyh&amp;AN=2019-55354-001&amp;site=ehost-live&amp;scope=site</t>
  </si>
  <si>
    <t>Using qualitative methods for revising items in the Hispanic Stress Inventory.</t>
  </si>
  <si>
    <t>Cervantes, Richard C.; Goldbach, Jeremy T.; Padilla, Amado M.</t>
  </si>
  <si>
    <t>2012-14332-002</t>
  </si>
  <si>
    <t>10.1177/0739986312442495</t>
  </si>
  <si>
    <t>Mental Health; Psychometrics; Psychosocial Factors; Stress; Test Validity; Immigration; Test Forms; Latinos/Latinas; Test Revision; Adulthood (18 yrs &amp; older); Young Adulthood (18-29 yrs); Thirties (30-39 yrs); Middle Age (40-64 yrs); Aged (65 yrs &amp; older); Male; Female</t>
  </si>
  <si>
    <t>Despite progress in the development of measures to assess psychosocial stress experiences in the general population, a lack of culturally informed assessment instruments exist to enable clinicians and researchers to detect and accurately diagnosis mental health concerns among Hispanics. The Hispanic Stress Inventory (HSI) was developed specifically for Hispanic adults, however, significant social and geopolitical changes over the past two decades have affected the types and intensity of stress experienced by Hispanics. Immigration related policy changes, for example, affect stress experiences among newer immigrants from Mexico and other Latin American countries in ways that items in the original HSI may no longer capture the full range of today’s stressors. Using expert interviews from Hispanic mental health experts and data gathered in 16 community-based focus groups at two distinct study sites, the goal of the current study was to identify new item content to include in a revised HSI. Using content analysis of all interview data, a total of 155 new stressor items and seven unique stress domains were generated. Content validity analysis using Kappa coefficient reveal high interrater validity for new HSI item content. Findings are described in depth, and recommendations for future research are identified. (PsycINFO Database Record (c) 2019 APA, all rights reserved)</t>
  </si>
  <si>
    <t>http://search.ebscohost.com.proxy-ub.rug.nl/login.aspx?direct=true&amp;db=psyh&amp;AN=2012-14332-002&amp;site=ehost-live&amp;scope=site</t>
  </si>
  <si>
    <t>Using the Portuguese version of the Bicultural Scale in Brazil.</t>
  </si>
  <si>
    <t>Zubaran, Carlos; Foresti, Katia; Persch, Karina Nunes</t>
  </si>
  <si>
    <t>Trends in Psychiatry and Psychotherapy</t>
  </si>
  <si>
    <t>2016-50352-006</t>
  </si>
  <si>
    <t>10.1590/2237-6089-2015-0050</t>
  </si>
  <si>
    <t>Associação de Psiquiatria do Rio Grande do Sul</t>
  </si>
  <si>
    <t>Health Care Psychology; Immigration; Psychometrics; Test Reliability; Test Validity; Acculturation; Bilingualism; Adulthood (18 yrs &amp; older); Male; Female</t>
  </si>
  <si>
    <t>Introduction: Brazil has received influxes of people, mainly from Africa, Europe and Japan, forming one of the most heterogeneous populations in the world. Some groups, particularly in Southern Brazil, have retained their original cultural traditions, whilst acquiring elements of the typical local Brazilian cultural identity. This is the first study designed to formally evaluate biculturality in Brazil. Objective: To psychometrically assess and validate the Portuguese version of the Bicultural Scale (BS) in Brazil. Methods: The BS was adapted and translated to Portuguese and tested for the first time in Brazil in a sample of descendants (n = 160) from four immigrant groups and respective locations in Southern Brazil. A series of psychometric tests were conducted in order to examine the validity of the Portuguese version of the BS. Analyses of variance across scores for all subgroups were also conducted. Results: Factor analysis revealed two main factors contributing to most of the variance in scores. The 10 items measuring affiliation with minority cultural characteristics and the typical Brazilian culture yielded Cronbach’s alpha coefficients of 0.69 and 0.78 respectively, whereas the overall Cronbach’s alpha for all 20 items of the BS was 0.67. There was a significant correlation between items related to the typical Brazilian culture and the generation since immigration of research participants (r = 0.23, p = 0.004). The mean time taken to complete the questionnaire was 7.4 minutes. Conclusion: The results indicate that the Portuguese version of the BS is a valid, reliable and easy-to-use instrument to assess biculturality experienced by descendants of immigrants in southern Brazil. (PsycINFO Database Record (c) 2016 APA, all rights reserved)</t>
  </si>
  <si>
    <t>http://search.ebscohost.com.proxy-ub.rug.nl/login.aspx?direct=true&amp;db=psyh&amp;AN=2016-50352-006&amp;site=ehost-live&amp;scope=site</t>
  </si>
  <si>
    <t>Validating the Multidimensional Measure of Cultural Identity Scales for Latinos among Latina mothers and daughters.</t>
  </si>
  <si>
    <t>Dillon, Frank R.; Félix-Ortiz, Maria; Rice, Christopher; De La Rosa, Mario; Rojas, Patria; Duan, Rui</t>
  </si>
  <si>
    <t>2009-05145-011</t>
  </si>
  <si>
    <t>10.1037/a0015321</t>
  </si>
  <si>
    <t>Acculturation; Ethnic Identity; Personality Measures; Psychometrics; Latinos/Latinas; Analysis of Variance; Daughters; Mothers; Cultural Identity; Female</t>
  </si>
  <si>
    <t>The psychometric properties of the Multidimensional Measure of Cultural Identity Scales for Latinos (MMCISL; Félix-Ortiz, Newcomb, &amp; Myers, 1994) have never been examined in an adult Latina sample representing various levels of nativity and nationality. The rationale for the study was to confirm the factor structure and psychometric properties of the MMCISL with a predominantly immigrant sample of Latina mothers and daughters (n = 316). Adequate reliability estimates were found for 6 of the original 10 scales. Confirmatory factor analyses provided evidence of construct validity for the reliable scales. The Preferred Latino Affiliation scale was the only scale to meet strict measurement invariance criteria across mothers and daughters. Criterion validity was evidenced by relations between the Familiarity with Latino Culture scale and all criterion variables. Implications for acculturation and cultural identity research involving the MMCISL are discussed. (PsycInfo Database Record (c) 2020 APA, all rights reserved)</t>
  </si>
  <si>
    <t>http://search.ebscohost.com.proxy-ub.rug.nl/login.aspx?direct=true&amp;db=psyh&amp;AN=2009-05145-011&amp;site=ehost-live&amp;scope=site</t>
  </si>
  <si>
    <t>Validation of Arabic and English versions of the ARSMA-II acculturation rating scale.</t>
  </si>
  <si>
    <t>Jadalla, Ahlam; Lee, Jerry</t>
  </si>
  <si>
    <t>2015-03352-027</t>
  </si>
  <si>
    <t>10.1007/s10903-013-9889-2</t>
  </si>
  <si>
    <t>Acculturation; Foreign Language Translation; Immigration; Test Validity; Arabs; Mexican Americans; Adulthood (18 yrs &amp; older); Young Adulthood (18-29 yrs); Thirties (30-39 yrs); Middle Age (40-64 yrs); Aged (65 yrs &amp; older); Very Old (85 yrs &amp; older); Male; Female</t>
  </si>
  <si>
    <t>To translate and adapt the Acculturation Rating Scale of Mexican–Americans II (ARSMA-II) for Arab Americans. A multistage translation process followed by a pilot and a large study. The translated and adapted versions, Acculturation Rating Scale for Arabic Americans-II Arabic and English (ARSAA-IIA, ARSAA-IIE), were validated in a sample of 297 Arab Americans. Factor analyses with principal axis factoring extractions and direct oblimin rotations were used to identify the underlying structure of ARSAA-II. Factor analysis confirmed the underlying structure of ARSAA-II and produced two interpretable factors labeled as ‘Attraction to American Culture’ (AAmC) and ‘Attraction to Arabic Culture’ (AArC). The Cronbach’s alphas of AAmC and AArC were .89 and .85 respectively. Findings support ARSAA-II A &amp; E to assess acculturation among Arab Americans. The emergent factors of ARSAA-II support the theoretical structure of the original ARSMA-II tool and show high internal consistency. (PsycINFO Database Record (c) 2016 APA, all rights reserved)</t>
  </si>
  <si>
    <t>http://search.ebscohost.com.proxy-ub.rug.nl/login.aspx?direct=true&amp;db=psyh&amp;AN=2015-03352-027&amp;site=ehost-live&amp;scope=site</t>
  </si>
  <si>
    <t>Validity of temporal measures as proxies for measuring acculturation in Asian Indian survey respondents.</t>
  </si>
  <si>
    <t>Bharmal, Nazleen; Hays, Ron D.; McCarthy, William J.</t>
  </si>
  <si>
    <t>2014-37149-014</t>
  </si>
  <si>
    <t>10.1007/s10903-013-9837-1</t>
  </si>
  <si>
    <t>Acculturation; Psychometrics; Social Support; Test Validity; Asians; Test Reliability; Adulthood (18 yrs &amp; older); Young Adulthood (18-29 yrs); Thirties (30-39 yrs); Male; Female</t>
  </si>
  <si>
    <t>There are few validated acculturation measures for Asian Indians in the U.S. We used the 2004 California Asian Indian Tobacco Survey to examine the relationship between temporal measures and eleven self-reported measures of acculturation. These items were combined to form an acculturation scale. We performed psychometric analysis of scale properties. Greater duration of residence in the U.S., greater percentage of lifetime in the U.S., and younger age at immigration were associated with more acculturated responses to the items for Asian Indians. Item-scale correlations for the 11-item acculturation scale ranged from 0.28–0.55 and internal consistency reliability was 0.73. Some support was found for a two-factor solution; one factor corresponding to cultural activities (α = 0.70) and the other to social behaviors (α = 0.59). Temporal measures only partially capture the full dimensions of acculturation. Our scale captured several domains and possibly two dimensions of acculturation. (PsycINFO Database Record (c) 2018 APA, all rights reserved)</t>
  </si>
  <si>
    <t>http://search.ebscohost.com.proxy-ub.rug.nl/login.aspx?direct=true&amp;db=psyh&amp;AN=2014-37149-014&amp;site=ehost-live&amp;scope=site</t>
  </si>
  <si>
    <t>Value differentiation in adolescence: The role of age and cultural complexity.</t>
  </si>
  <si>
    <t>Daniel, Ella; Schiefer, David; Möllering, Anna; Benish-Weisman, Maya; Boehnke, Klaus; Knafo, Ariel</t>
  </si>
  <si>
    <t>2012-02575-023</t>
  </si>
  <si>
    <t>10.1111/j.1467-8624.2011.01694.x</t>
  </si>
  <si>
    <t>Adolescent Attitudes; Age Differences; Cross Cultural Differences; Individual Differences; Values; Immigration; Social Psychology; Childhood (birth-12 yrs); School Age (6-12 yrs); Adolescence (13-17 yrs); Male; Female</t>
  </si>
  <si>
    <t>Living in complex social worlds, individuals encounter discordant values across life contexts, potentially resulting in different importance of values across contexts. Value differentiation is defined here as the degree to which values receive different importance depending on the context in which they are considered. Early and mid-adolescents (N = 3,497; M = 11.45 years, SD = 0.87 and M = 16.10 years, SD = 0.84, respectively) from 4 cultural groups (majority and former Soviet Union immigrants in Israel and Germany) rated their values in 3 contexts (family, school, and country). Value differentiation varied across individuals. Early adolescents showed lower value differentiation than mid-adolescents. Immigrant (especially first generation) adolescents, showed higher value differentiation than majority adolescents, reflecting the complex social reality they face while negotiating cultures. (PsycINFO Database Record (c) 2016 APA, all rights reserved)</t>
  </si>
  <si>
    <t>http://search.ebscohost.com.proxy-ub.rug.nl/login.aspx?direct=true&amp;db=psyh&amp;AN=2012-02575-023&amp;site=ehost-live&amp;scope=site</t>
  </si>
  <si>
    <t>Values as predictors of anticipated socio‐cultural adaptation among potential migrants from Russia to Finland.</t>
  </si>
  <si>
    <t>Yijälä, Anu; Lönnqvist, Jan‐Erik; Jasinskaja‐Lahti, Inga; Verkasalo, Markku</t>
  </si>
  <si>
    <t>2012-00759-001</t>
  </si>
  <si>
    <t>10.1002/casp.1104</t>
  </si>
  <si>
    <t>Acculturation; Immigration; Sociocultural Factors; Values; Interpersonal Relationships; Adulthood (18 yrs &amp; older); Male; Female</t>
  </si>
  <si>
    <t>This study examined the role of value patterns of potential migrants from Russia to Finland (N = 229) in predicting expectations of post-migration socio-cultural adaptation. Furthermore, the fit between migrants’ personal values and the values they expect to encounter in the new home country (i.e. perceived value congruence) was hypothesized to predict anticipated socio-cultural adaptation (ASCA). The study took into account perceived cultural distance variables as well as socio-demographic controls traditionally related to adaptation outcomes among migrants. According to the results, familiarity with the host country (i.e., the number of Finnish friends/relatives in Finland), the openness to change value and perceived value congruence significantly predicted potential migrants’ ASCA. When using four sub-scales (interpersonal relations, cognitive understanding, impersonal perils and bureaucracy) of the ASCA-scale, a more complex picture emerged. The results suggest that future work should include values, particularly perceived value congruence, in the analysis of the cultural fit hypothesis, as well as find better means of supporting immigrant adjustment starting at the pre-migration stage. (PsycINFO Database Record (c) 2016 APA, all rights reserved)</t>
  </si>
  <si>
    <t>http://search.ebscohost.com.proxy-ub.rug.nl/login.aspx?direct=true&amp;db=psyh&amp;AN=2012-00759-001&amp;site=ehost-live&amp;scope=site</t>
  </si>
  <si>
    <t>Variants of biculturalism in migrant and host adolescents living in Italy and Spain: Testing the importance of life domains through the Relative Acculturation Extended Model.</t>
  </si>
  <si>
    <t>Mancini, Tiziana; Navas, Marisol; López‐Rodríguez, Lucia; Bottura, Benedetta</t>
  </si>
  <si>
    <t>2017-21099-001</t>
  </si>
  <si>
    <t>10.1002/ijop.12432</t>
  </si>
  <si>
    <t>Acculturation; Human Migration; Multiculturalism; Adolescence (13-17 yrs); Male; Female</t>
  </si>
  <si>
    <t>Several variants of biculturalism have recently been proposed (Schwartz, Birman, Benet‐Martínez, &amp; Unger, 2016). Nevertheless, few studies have identified different types of bicultural individuals, and no one has addressed the possibility that these types could depend on acculturation domains. By using the Relative Acculturation Extended Model (RAEM), this study aimed to explore if different variants of biculturalism could be individuated, and if some of these variants were sensitive to life domains. Four samples of migrant and host adolescents living in Italy (n = 173 and n = 186) and Spain (n = 139 and n = 156) answered a questionnaire about acculturation perceptions and preferences in central and peripheral life domains. Together with acculturation options consistent with Berry's (1997) model (full‐assimilation, full‐separation and full‐marginalisation), some variants of biculturalism emerged from the latent class analysis: full‐high and full‐low integration, which were not sensitive to life domains; and 'alternate' acculturation options that were sensitive to life domains, with participants switching from their original culture to the host culture according to the peripheral and central domains. Acculturation options varied across the four samples, with Italians switching more from one culture to another, and Spanish adolescents being more full‐high or full‐low integrated. (PsycINFO Database Record (c) 2019 APA, all rights reserved)</t>
  </si>
  <si>
    <t>http://search.ebscohost.com.proxy-ub.rug.nl/login.aspx?direct=true&amp;db=psyh&amp;AN=2017-21099-001&amp;site=ehost-live&amp;scope=site</t>
  </si>
  <si>
    <t>Variations in the assessment of acculturation attitudes: Their relationships with psychological wellbeing.</t>
  </si>
  <si>
    <t>Berry, John W.; Sabatier, Colette</t>
  </si>
  <si>
    <t>2011-21458-012</t>
  </si>
  <si>
    <t>10.1016/j.ijintrel.2011.02.002</t>
  </si>
  <si>
    <t>Acculturation; Cross Cultural Differences; Ethnic Identity; Well Being; Adolescence (13-17 yrs); Male; Female</t>
  </si>
  <si>
    <t>The concept of acculturation attitudes refers to the various ways that acculturating individuals prefer to live with the two cultures that they are in contact with. In the original acculturation attitudes framework, Berry proposed a two-dimensional structure. The two dimensions were: to what extent do acculturating individuals prefer to maintain their heritage culture and identity; and to what extent do people wish to have contact with others outside their own group, and participate in the larger society. When these two dimensions are crossed, four ways of acculturating can be distinguished: assimilation, integration, separation, marginalisation. The first goal of this paper is to use other ways of operationalising these two dimensions to discover the resultant variations in the classification of individuals into the four ways of acculturating. The second goal is to see whether these variations in classifying ways of acculturation lead to different relationships with immigrants’ psychological wellbeing. We examine both questions using data from immigrant youth in Montreal and Paris, and conclude that different operationalisations of these two dimensions do yield some important variations in classification. There are also variations across these ways of assessing acculturation attitudes in their relationships with the psychological wellbeing of immigrant youth. Moreover, these variations are amplified when taking into account the society into which immigrant youth have settled. The general conclusions are that it does matter how and where acculturation attitudes are assessed, and that these variations impact the degree of psychological adaptation of immigrant youth. (PsycINFO Database Record (c) 2016 APA, all rights reserved)</t>
  </si>
  <si>
    <t>http://search.ebscohost.com.proxy-ub.rug.nl/login.aspx?direct=true&amp;db=psyh&amp;AN=2011-21458-012&amp;site=ehost-live&amp;scope=site</t>
  </si>
  <si>
    <t>Visuoconstructional abilities in cognitively healthy illiterate Turkish immigrants: A quantitative and qualitative investigation.</t>
  </si>
  <si>
    <t>Nielsen, T. Rune; Jørgensen, Kasper</t>
  </si>
  <si>
    <t>The Clinical Neuropsychologist</t>
  </si>
  <si>
    <t>2013-21627-009</t>
  </si>
  <si>
    <t>10.1080/13854046.2013.767379</t>
  </si>
  <si>
    <t>Cognitive Ability; Immigration; Literacy; Neuropsychological Assessment; Visuospatial Ability; Cognitive Impairment; Adulthood (18 yrs &amp; older); Middle Age (40-64 yrs); Aged (65 yrs &amp; older); Male; Female</t>
  </si>
  <si>
    <t>Assessment of visuospatial function is an integral part of most neuropsychological assessments and is frequently assessed by visuoconstructional tests. A significant impact of limited schooling and illiteracy has been found on numerous neuropsychological tests and it can be difficult to interpret test results from illiterate individuals. In this study, quantitative and qualitative aspects of performance of elderly cognitively healthy illiterate and literate Turkish immigrants were compared on five commonly used visuoconstructional tests. Significantly poorer performances of illiterate compared to literate subjects were found in copying of two-and three-dimensional geometric designs, and in Clock Drawing Test performance. A systematic qualitative analysis found lacking three-dimensionality, 'curved angles', omissions, distorted relation between elements, and spatial disorganization to be common error types in illiterate subjects. Performances were not found to be influenced by duration of residence in Denmark or level of acculturation. The results warrant caution in the interpretation of visuoconstructional test performances in illiterate subjects, as they can easily be misinterpreted as signs of cognitive dysfunction. (PsycINFO Database Record (c) 2016 APA, all rights reserved)</t>
  </si>
  <si>
    <t>http://search.ebscohost.com.proxy-ub.rug.nl/login.aspx?direct=true&amp;db=psyh&amp;AN=2013-21627-009&amp;site=ehost-live&amp;scope=site</t>
  </si>
  <si>
    <t>Vocational identity development among unaccompanied refugee minors.</t>
  </si>
  <si>
    <t>Oppedal, Brit; Guribye, Eugene; Kroger, Jane</t>
  </si>
  <si>
    <t>2017-21171-001</t>
  </si>
  <si>
    <t>10.1016/j.ijintrel.2017.04.004</t>
  </si>
  <si>
    <t>Educational Aspirations; Occupational Aspirations; Refugees; Asylum Seeking; Identity Formation; Occupational Choice; Test Construction; Adulthood (18 yrs &amp; older); Young Adulthood (18-29 yrs); Male; Female</t>
  </si>
  <si>
    <t>This study examined educational aspirations and vocational identity formation among unaccompanied refugees in Norway. In Phase 1 we employed questionnaire data from 918 unaccompanied refugees to investigate the effects of demographic information, pre-migration trauma, mental health and acculturation-related factors on their educational aspirations. In Phase 2, data from Identity Status Interviews (ISI) with 29 participants was analyzed to obtain information about vocational identity status distribution and to examine core themes and contextual factors underlying their vocational choices. The findings from Phase 1 showed that none of the theoretically and empirically based included variables had a significant effect on their aspirations. Moreover, the overall regression model was non-significant. We discussed these findings in relation to the strong motivation among unaccompanied minors to create better lives for themselves than they could have in the countries they fled from, irrespective of their traumatic experiences and mental health problems. In Phase 2 the most important themes emerging from the ISIs revolved around age, time, and economics. The remedial education to bridge the pre-flight gap in formal education meant that the unaccompanied refugee youth entered upper secondary school at substantially older ages than their classmates. Their older ages then led them to prioritize economic considerations in making vocational choices, since the support from the Child Welfare Services is discontinued when they reach the age of majority. Consequently, most of them chose short vocational paths toward earning a living, rather than complex roads that led to the realization of their own long-term aspirations. This may have limited the social mobility of unaccompanied refugees. (PsycINFO Database Record (c) 2018 APA, all rights reserved)</t>
  </si>
  <si>
    <t>http://search.ebscohost.com.proxy-ub.rug.nl/login.aspx?direct=true&amp;db=psyh&amp;AN=2017-21171-001&amp;site=ehost-live&amp;scope=site</t>
  </si>
  <si>
    <t>Warmth and competence stereotypes about immigrant groups in Germany.</t>
  </si>
  <si>
    <t>Froehlich, Laura; Schulte, Isabel</t>
  </si>
  <si>
    <t>2019-59111-001</t>
  </si>
  <si>
    <t>10.1371/journal.pone.0223103</t>
  </si>
  <si>
    <t>Competence; Immigration; Social Environments; Society; Stereotyped Attitudes; Social Integration; Social Skills; Threat; Adulthood (18 yrs &amp; older); Male; Female</t>
  </si>
  <si>
    <t>Germany is ethnically diverse and the social climate is more or less welcoming for different immigrant groups. The social climate can be described by stereotypes of members of the receiving society about immigrant groups, which in turn shape receiving-society members’ behavioral tendencies of support or discrimination. We investigated warmth and competence stereotypes about 17 immigrant groups in Germany. Results showed four clusters of immigrant groups in the two-dimensional space of warmth and competence. Groups who immigrated comparatively recently and from regions of conflict (e.g., the Balkans, Northern Africa) were stereotyped most negatively (moderate warmth, low competence). Across groups, path analysis investigated the socio-structural relations proposed by the stereotype content model and the BIAS map for immigrant groups in the German context. In a pre-registered model all hypothesized paths were significant but model fit was not good. Therefore, an exploratory model included additional paths as well as intercorrelations between exogenous variables and error terms. The modified model showed good fit and partly replicated the relations proposed by the BIAS map. Threat predicted warmth, whereas status predicted competence. Warmth predicted active behavioral tendencies and competence predicted passive behavioral tendencies. Additional paths from status to warmth, threat to competence, as well as from warmth to passive behavioral tendencies and competence to active behavioral tendencies were also significant. Thus, findings support receiving-society members’ active role in the process of integrating immigrant groups into German society. Based on the results, social-psychological approaches to foster immigrant integration are discussed. (PsycInfo Database Record (c) 2020 APA, all rights reserved)</t>
  </si>
  <si>
    <t>http://search.ebscohost.com.proxy-ub.rug.nl/login.aspx?direct=true&amp;db=psyh&amp;AN=2019-59111-001&amp;site=ehost-live&amp;scope=site</t>
  </si>
  <si>
    <t>'We are in this together': Common group identity predicts majority members’ active acculturation efforts to integrate immigrants.</t>
  </si>
  <si>
    <t>Kunst, Jonas R.; Thomsen, Lotte; Sam, David L.; Berry, John W.</t>
  </si>
  <si>
    <t>2015-44587-010</t>
  </si>
  <si>
    <t>10.1177/0146167215599349</t>
  </si>
  <si>
    <t>Acculturation; Group Identity; Immigration; Racism; Adulthood (18 yrs &amp; older); Male; Female</t>
  </si>
  <si>
    <t>Although integration involves a process of mutual accommodation, the role of majority groups is often downplayed to passive tolerance, leaving immigrants with the sole responsibility for active integration. However, we show that common group identity can actively involve majority members in this process across five studies. Study 1 showed that common identity positively predicted support of integration efforts; Studies 2 and 3 extended these findings, showing that it also predicted real behavior such as monetary donations and volunteering. A decrease in modern racism mediated the relations across these studies, and Studies 4 and 5 further demonstrated that it indeed mediated these effects over and above acculturation expectations and color-blindness, which somewhat compromised integration efforts. Moreover, the last two studies also demonstrated that common, but not dual, groups motivated integration efforts. Common identity appears crucial for securing majorities’ altruistic efforts to integrate immigrants and, thus, for achieving functional multiculturalism. (PsycINFO Database Record (c) 2016 APA, all rights reserved)</t>
  </si>
  <si>
    <t>http://search.ebscohost.com.proxy-ub.rug.nl/login.aspx?direct=true&amp;db=psyh&amp;AN=2015-44587-010&amp;site=ehost-live&amp;scope=site</t>
  </si>
  <si>
    <t>'We came to this country for the future of our children. We have no future': Acculturative stress among Iraqi refugees in the United States.</t>
  </si>
  <si>
    <t>Yako, Rihab Mousa; Biswas, Bipasha</t>
  </si>
  <si>
    <t>2013-31621-001</t>
  </si>
  <si>
    <t>10.1016/j.ijintrel.2013.08.003</t>
  </si>
  <si>
    <t>Acculturation; Language; Racial and Ethnic Differences; Refugees; Asians; Distress; Hopelessness; Religion; Adulthood (18 yrs &amp; older); Male; Female</t>
  </si>
  <si>
    <t>Individuals from Iraq form one of the largest groups of refugees and asylum seekers in the United States in the recent years following the decade long war in the region. Yet, the experiences of these refugee families in a new country offering sanctuary to them are largely unknown, and often ignored. Utilizing a mixed methods approach, this study explored experiences of refugees from Iraq and evaluated experiences related to acculturation in the United States among a purposive sample of 154 Iraqi refugees in two separate communities. Findings suggest existing social isolation, language barriers, religious and ethnic persecution among Iraqi refugees. These barriers contributed to sustained hopelessness and distress where participants fail to visualize a future of their own. Implications include suggestions for policy and practice guidelines designed for federal and non-governmental organizations engaged in assistance of immigrants/refugees in their transition. (PsycINFO Database Record (c) 2019 APA, all rights reserved)</t>
  </si>
  <si>
    <t>http://search.ebscohost.com.proxy-ub.rug.nl/login.aspx?direct=true&amp;db=psyh&amp;AN=2013-31621-001&amp;site=ehost-live&amp;scope=site</t>
  </si>
  <si>
    <t>Wealth accumulation among U.S. Immigrants: A study of assimilation and differentials.</t>
  </si>
  <si>
    <t>2011-16812-008</t>
  </si>
  <si>
    <t>10.1016/j.ssresearch.2009.08.004</t>
  </si>
  <si>
    <t>Acculturation; Immigration; Racial and Ethnic Differences; Social Sciences; Socioeconomic Status; Adulthood (18 yrs &amp; older); Male; Female</t>
  </si>
  <si>
    <t>Data from the New Immigrant Survey are used to study wealth differentials among U.S. legal permanent residents. This study is unique in its ability to account for wealth held in the U.S. and that held abroad and yields several key findings. First, relative to immigrants from Western Europe, Australia, Canada, and New Zealand (who have median wealth similar to native born non-Hispanic whites), other immigrant groups have lower levels of total wealth even after accounting for permanent income and life course characteristics. Second, time in the U.S. is positively associated with the wealth of married immigrants, yet this relationship is not statistically significant for single immigrants. Third, differences in the means of measured characteristics between Western European immigrants and those from most other origin regions account for more than 75 percent of observed wealth disparities. However, for immigrants from Asia and from the Indian subcontinent, much of the wealth differential remains unexplained by these factors. (PsycINFO Database Record (c) 2017 APA, all rights reserved)</t>
  </si>
  <si>
    <t>http://search.ebscohost.com.proxy-ub.rug.nl/login.aspx?direct=true&amp;db=psyh&amp;AN=2011-16812-008&amp;site=ehost-live&amp;scope=site</t>
  </si>
  <si>
    <t>Weight discrepancy and body appreciation of Zimbabwean women in Zimbabwe and Britain.</t>
  </si>
  <si>
    <t>Swami, Viren; Mada, Rujeko; Tovée, Martin J.</t>
  </si>
  <si>
    <t>2012-16502-001</t>
  </si>
  <si>
    <t>10.1016/j.bodyim.2012.05.006</t>
  </si>
  <si>
    <t>Body Image; Body Weight; Cross Cultural Differences; Adulthood (18 yrs &amp; older); Young Adulthood (18-29 yrs); Thirties (30-39 yrs); Middle Age (40-64 yrs); Female</t>
  </si>
  <si>
    <t>Few studies have investigated a cultural group's corporeal experiences in both its country of origin and a host, Western country using the same methodology. To overcome this dearth in the literature, the present study examined body image among 140 women in Harare, Zimbabwe, and an age-matched sample of 138 Zimbabwean migrants in Britain. Participants completed measures of actual-ideal weight discrepancy, body appreciation, and lifetime exposure to Western and Zimbabwean media. Preliminary analyses showed that there were no significant differences in body mass index between the two groups. Further analyses showed that Zimbabwean women in Britain had significantly greater weight discrepancy and lower body appreciation than their counterparts in Zimbabwe. In addition, weight discrepancy and body appreciation among both samples were significantly associated with exposure to Western media, but not Zimbabwean media. These findings support the contention that transcultural migration may place individuals at risk for symptoms of negative body image. (PsycINFO Database Record (c) 2017 APA, all rights reserved)</t>
  </si>
  <si>
    <t>http://search.ebscohost.com.proxy-ub.rug.nl/login.aspx?direct=true&amp;db=psyh&amp;AN=2012-16502-001&amp;site=ehost-live&amp;scope=site</t>
  </si>
  <si>
    <t>Welcome or not?—Natives’ security feelings, attachment and attitudes toward acculturation of immigrants.</t>
  </si>
  <si>
    <t>Goedert, Christine; Albert, Isabelle; Barros, Stephanie; Ferring, Dieter</t>
  </si>
  <si>
    <t>2019-11450-004</t>
  </si>
  <si>
    <t>10.1016/j.ijintrel.2018.12.001</t>
  </si>
  <si>
    <t>Acculturation; Attitudes; Emotional Security; Immigration; Multiculturalism; Attachment Behavior; Test Construction; Adulthood (18 yrs &amp; older); Young Adulthood (18-29 yrs); Thirties (30-39 yrs); Middle Age (40-64 yrs); Aged (65 yrs &amp; older); Male; Female</t>
  </si>
  <si>
    <t>Cultural diversity due to immigration has become a key topic in many societies today. The question of how the native population experiences these developments is of prime importance for intercultural relations and sets the base for acculturation of immigrants. Drawing on attachment and multiculturalism research, we supposed here that general and specific feelings of security might be related to more positive attitudes toward cultural diversity, whereas feelings of threat might be related to less openness. More precisely, the present study investigated how natives’ general attachment (secure or fearful) as well as their specific feelings of (cultural or economic) security might be related to their expectations about acculturation of immigrants in the multicultural context of Luxembourg. The sample included N = 134 Luxembourg nationals with an average age of M = 45.02 (SD = 17.41) who filled out an online questionnaire. Results revealed that self-reported fearful general attachment was positively related to more unwelcoming acculturation orientations. Relations between general attachment and acculturation orientations were mediated by feelings of cultural security, which had strong effects on host nationals’ (un)welcoming acculturation orientations over and above general attachment. Findings suggest that (un)welcoming orientations toward immigrants, entailing openness for cultural contact and exchange, are related to feelings of cultural and economic security which are partly biased by a general secure or fearful attachment. Feelings of security seem thus to provide a secure base for tolerance and openness to cultural diversity which are needed in order to deal successfully with the challenges of today’s multicultural societies. (PsycINFO Database Record (c) 2019 APA, all rights reserved)</t>
  </si>
  <si>
    <t>http://search.ebscohost.com.proxy-ub.rug.nl/login.aspx?direct=true&amp;db=psyh&amp;AN=2019-11450-004&amp;site=ehost-live&amp;scope=site</t>
  </si>
  <si>
    <t>Welcome work: Hospitality and the mediation of migrant mobility in Swiss integration policy.</t>
  </si>
  <si>
    <t>Yeung, Shirley Ceensem</t>
  </si>
  <si>
    <t>2020-79971-149</t>
  </si>
  <si>
    <t>Government Policy Making; Human Migration; Physical Mobility; Policy Making; Social Integration; Politics; Socialization; Volunteers; Adulthood (18 yrs &amp; older)</t>
  </si>
  <si>
    <t>Since 2005, Switzerland's federal Integration policy has structured the social inclusion of (im)migrants in the country; legal settlement, access to social aid, and naturalization itself are contingent on discretionary judgments as to whether a migrant is linguistically and culturally 'integrated' into Swiss society. While public and policy discourse frame the concept of 'integration' as a more inclusive departure from Switzerland's historically 'assimilationist' migration policy, discussion has too often overlooked how the shifting and productively vague notion of 'integration' constitutes a terrain of social practice—one where the tense, mutually constitutive relationship between reception and regulation, ethics and politics, is negotiated by a host of mobility mediators. Positioned in between migrant and citizen, these persons, often humanitarian volunteers (bénévoles) and 'migrants' themselves, teach and broker the cultural-linguistic competences of integration while bridging, too, the ethical and economic dimensions of cross-border mobility.This dissertation draws on 14 months of ethnographic research, conducted in the aftermath of the 2008 financial crisis, among volunteer workers, French language teachers, and undocumented persons distributed across a network of migrant aid agencies, NGOs, and centers of migrant-education in Geneva. The dissertation asks: How is the concept of 'integration' in Geneva constructed and practiced? How does its practice enable or foreclose migrant legality? How do situated mediators broker migrants' economic and social mobility through acts of teaching and linguistic-cultural socialization? What forms of hospitality or solidarity do these envisage? And, in particular, what semiotic processes render the differences—the categories of mobility, person, and (in)hospitable practice—by which integration is imagined and performed? In analyzing everyday practices of migrant socialization, this dissertation advances the concept of 'welcome work'—the forms of ethically-charged interstitial brokerage and mediation that aim to articulate migrant with state and citizen. Exploring the ironies and ambivalences of Swiss Integration policy, the dissertation chapters track varied scales and terrains of (in)hospitality: the social and policy distinctions between various types of national strangers/guests (and their relationship to the state's integration criteria); the moral-economic imagination of the French language in night classes for precarious migrant job-seekers; the cultivation of migrants' aesthetic sensibilities via pedagogies of 'culture'; and practices of legal mediation by which migrant legality, presence, and Swiss jurisdiction itself are brokered and made. By examining the work of intermediaries on the integration front-line, this dissertation contributes to scholarship on mobility and migration by attending to the interstitial spaces of reception—the space between migrant and state that allows for their articulation to become conceivable in terms of 'guest' and 'host.' In this space, 'welcome work' becomes a salient terrain where mediators and migrants alike attempt to reconcile hospitable aspirations and ethics with a national politics of crisis management and border closure. (PsycInfo Database Record (c) 2020 APA, all rights reserved)</t>
  </si>
  <si>
    <t>http://search.ebscohost.com.proxy-ub.rug.nl/login.aspx?direct=true&amp;db=psyh&amp;AN=2020-79971-149&amp;site=ehost-live&amp;scope=site</t>
  </si>
  <si>
    <t>Welcoming, trust, and civic engagement: Immigrant integration in metropolitan America.</t>
  </si>
  <si>
    <t>Okamoto, Dina G.; Tropp, Linda R.; Marrow, Helen B.; Jones-Correa, Michael</t>
  </si>
  <si>
    <t>2020-58659-003</t>
  </si>
  <si>
    <t>10.1177/0002716220927661</t>
  </si>
  <si>
    <t>Community Involvement; Immigration; Social Integration; Social Perception; Trust (Social Behavior); Interpersonal Interaction; Refugees; Social Environments; Adulthood (18 yrs &amp; older); Male; Female</t>
  </si>
  <si>
    <t>Prior studies have sought to understand how immigrants integrate into U.S. society, focusing on the ways in which local contexts and institutions limit immigrant incorporation. In this study, we consider how interactions among immigrants and U.S.-born within receiving communities contribute to the process of immigrant integration. We emphasize the extent to which immigrants perceive that they are welcome in their social environments and the downstream effects of those perceptions. Drawing on new representative survey data and in-depth interviews with first-generation Mexican and Indian immigrants in the Atlanta and Philadelphia metropolitan areas, we examine what constitutes feeling welcomed and how these perceptions are associated with immigrants’ interest and trust in the U.S.-born and with their civic participation. Our focus on two metropolitan areas with long-standing racialized dynamics, coupled with new waves of immigration, provides insights about the role of welcoming contexts in immigrant integration in the twenty-first century. (PsycInfo Database Record (c) 2020 APA, all rights reserved)</t>
  </si>
  <si>
    <t>http://search.ebscohost.com.proxy-ub.rug.nl/login.aspx?direct=true&amp;db=psyh&amp;AN=2020-58659-003&amp;site=ehost-live&amp;scope=site</t>
  </si>
  <si>
    <t>Well-being among Greeks and immigrants before and after the current financial crisis.</t>
  </si>
  <si>
    <t>Antoniou, Alexander-Stamatios; Dalla, Marina</t>
  </si>
  <si>
    <t>The psychology of the recession on the workplace.</t>
  </si>
  <si>
    <t>2013-18153-001</t>
  </si>
  <si>
    <t>10.4337/9780857933843.00010</t>
  </si>
  <si>
    <t>Economics; Immigration; Indigenous Populations; Job Security; Life Satisfaction; Acculturation; Financial Strain; Well Being; Adulthood (18 yrs &amp; older); Young Adulthood (18-29 yrs); Thirties (30-39 yrs); Middle Age (40-64 yrs); Aged (65 yrs &amp; older); Male; Female</t>
  </si>
  <si>
    <t>From a psychological perspective, economic crisis is a traumatic and stressful transition in a person's life, which has a negative impact on subjective well-being through job insecurity, income and equity erosion Greece emerges as an interesting case in the study of life satisfaction, because the country is particularly badly hit by the economic crisis which is spreading to other Member States. The present study examines whether life satisfaction of native Greeks and immigrants is different before and after the financial crisis and attempted to explain how acculturation orientation is related to immigrants' life satisfaction. By comparing natives' and immigrants' life satisfaction, we were able to show the lower level of life satisfaction of Albanian immigrants and Pontic Greeks versus native Greeks initially and after the crisis. Regarding the contribution of acculturation orientations on life satisfaction, the results indicate the negative relationship between the heritage dimension of acculturation and life satisfaction. However, this relationship is only exhibited among Albanian immigrants. (PsycInfo Database Record (c) 2020 APA, all rights reserved)</t>
  </si>
  <si>
    <t>http://search.ebscohost.com.proxy-ub.rug.nl/login.aspx?direct=true&amp;db=psyh&amp;AN=2013-18153-001&amp;site=ehost-live&amp;scope=site</t>
  </si>
  <si>
    <t>Well‐being in cross‐cultural transitions: Discrepancies between acculturation preferences and actual intergroup and intragroup contact.</t>
  </si>
  <si>
    <t>Ramos, Miguel R.; Cassidy, Clare; Reicher, Stephen; Haslam, S. Alexander</t>
  </si>
  <si>
    <t>2015-00721-001</t>
  </si>
  <si>
    <t>10.1111/jasp.12272</t>
  </si>
  <si>
    <t>Acculturation; Cross Cultural Differences; Immigration; International Students; Social Interaction; Emotional Adjustment; Ingroup Outgroup; Preferences; Psychosocial Factors; Well Being; Adolescence (13-17 yrs); Adulthood (18 yrs &amp; older); Young Adulthood (18-29 yrs); Thirties (30-39 yrs); Middle Age (40-64 yrs); Male; Female</t>
  </si>
  <si>
    <t>Abstract: Two studies examined the effect of acculturation–contact discrepancies on well‐being. Specifically, we tested the prediction that well‐being will be compromised when cultural minorities' acculturation preferences are not met by the intergroup and intragroup contact in a new society. Study 1 found that for Polish immigrants (n = 55) acculturation–contact discrepancies were associated with compromised well‐being. Study 2 followed a cohort of international students (n = 106) for a period of two academic years. Results suggested that discrepancies in students' acculturation–contact in their first year had harmful consequences for their well‐being 1 year later. Overall, the two studies show that discrepancies between acculturation preferences and actual contact have negative implications for the psychological adaptation of acculturating individuals. (PsycINFO Database Record (c) 2016 APA, all rights reserved)</t>
  </si>
  <si>
    <t>http://search.ebscohost.com.proxy-ub.rug.nl/login.aspx?direct=true&amp;db=psyh&amp;AN=2015-00721-001&amp;site=ehost-live&amp;scope=site</t>
  </si>
  <si>
    <t>West African immigrants' attitudes toward seeking psychological help.</t>
  </si>
  <si>
    <t>Thomas, Damafing Keita</t>
  </si>
  <si>
    <t>2009-99180-164</t>
  </si>
  <si>
    <t>Attitudes; Help Seeking Behavior; Immigration; Mental Health</t>
  </si>
  <si>
    <t>Research is needed to better understand the impact of migration on West African immigrants‘ mental health and their ability and willingness to seek traditional Western care. Therefore, the present quantitative study investigated the variance in attitudes toward seeking psychological help as predicted by degree of acculturation, severity of self-reported problems, and beliefs about the cause of mental health problems among West African immigrants in the U.S. The following research questions and hypothesis were addressed: What are the specific mental and physical health concerns of West African immigrants in the U.S.? Where do West African immigrants with mental health problems seek help? The hypothesis was that higher acculturation into the U.S. society, severity of self-reported problems, and interactional attribution beliefs about mental health problems would be significant predictors of attitudes toward seeking psychological help. Approximately 600 questionnaires were mailed to first generation West African immigrants. A total of 126 surveys were received representing a return rate of 21%. Of this number 15 were not usable. Analyses were based on the remaining 111 surveys. Each survey packet included a demographic questionnaire, a referral list for national mental health, counseling and crisis services, a business reply envelope, and a battery of 4 instruments including the Attitude Toward Seeking Professional Psychological Help Scale (ATSPPH), Behavioral Acculturation Scale (BAS), Brief Symptoms Inventory (BSI), and the Mental Health Locus of Origin Scale (MHLO). Descriptive statistics were computed (percentages &amp; frequencies) to answer the first and second research questions. In addition, one multiple regression, using forced entry method was performed to predict West African immigrants‘ attitudes toward seeking psychological help as measured by the total scores on the ATSPPH, using the BAS, BSI, and MHLO scores as predictors. Finally, Pearson product moment correlation analyses were performed among the variables in examining the regression results. The results identified interactional attribution beliefs about mental health problems as the only significant predictor. West African immigrants reported various concerns with their mental and physical health. In general, they reported preference for the use of informal systems of support to resolve their emotional concerns and the use of medical doctors for physical concerns. (PsycINFO Database Record (c) 2016 APA, all rights reserved)</t>
  </si>
  <si>
    <t>http://search.ebscohost.com.proxy-ub.rug.nl/login.aspx?direct=true&amp;db=psyh&amp;AN=2009-99180-164&amp;site=ehost-live&amp;scope=site</t>
  </si>
  <si>
    <t>What Are We Measuring? An Evaluation of the CES-D Across Race/Ethnicity and Immigrant Generation.</t>
  </si>
  <si>
    <t>Perreira, Krista M.; Deeb-Sossa, Natalia; Harris, Kathleen Mullan; Bollen, Kenneth</t>
  </si>
  <si>
    <t>2005-11138-010</t>
  </si>
  <si>
    <t>10.1353/sof.2005.0077</t>
  </si>
  <si>
    <t>Evaluation; Immigration; Measurement; Mental Health; Test Validity; Sociology; Childhood (birth-12 yrs); School Age (6-12 yrs); Adolescence (13-17 yrs); Adulthood (18 yrs &amp; older); Young Adulthood (18-29 yrs); Male; Female</t>
  </si>
  <si>
    <t>The sociological study of the mental health of racial-ethnic minorities depends on the measurement quality of the instruments used to evaluate mental health. A commonly used instrument in research on mental health disparities, the Center for Epidemiologic Studies Depression Scale (CES-D), has not been thoroughly validated for use in the multiethnic and foreign-born populations currently living in the U.S. Using data from the National Longitudinal Study of Adolescent Health, this analysis provides the first multiethnic evaluation and psychometric analysis of the CES-D by acculturation level among youth ages 12-20. Correcting for the measurement problems contained in the CES-D improves the ability to detect differences in depression across ethnocultural groups, and to identify relationships between depression and other outcomes. (PsycINFO Database Record (c) 2016 APA, all rights reserved)</t>
  </si>
  <si>
    <t>http://search.ebscohost.com.proxy-ub.rug.nl/login.aspx?direct=true&amp;db=psyh&amp;AN=2005-11138-010&amp;site=ehost-live&amp;scope=site</t>
  </si>
  <si>
    <t>What factors explain disparities in mammography rates among Asian-American immigrant women? A population-based study in California.</t>
  </si>
  <si>
    <t>Women's Health Issues</t>
  </si>
  <si>
    <t>e403</t>
  </si>
  <si>
    <t>2013-38846-014</t>
  </si>
  <si>
    <t>10.1016/j.whi.2013.08.005</t>
  </si>
  <si>
    <t>Asians; Cancer Screening; Human Females; Immigration; Mammography; Risk Factors; Adulthood (18 yrs &amp; older); Middle Age (40-64 yrs); Aged (65 yrs &amp; older); Female</t>
  </si>
  <si>
    <t>Background: The purpose of this study was to compare rates of screening mammography among immigrant women in five Asian-American ethnic groups in California, and ascertain the extent to which differences in mammography rates among these groups are attributable to differences in known correlates of cancer screening. Methods: Using 2009 data from the California Health Interview Survey, we compared the rates of mammography among Chinese, Filipino, Japanese, Korean, and Vietnamese immigrants 40 years and older. To assess the impact of Asian ethnicity on participation in screening, we performed multiple logistic regression analysis with models that progressively adjusted for acculturation, sociodemographic characteristics, access to health care, and breast cancer risk factors, and examined the predicted probabilities of screening after adjusting for these factors. Findings: Participation in screening mammography differed according to ethnicity, with Filipina and Vietnamese Americans having the highest rates and Korean Americans having the lowest rates of lifetime and recent (past 2 years) screening. These differences decreased substantially after adjusting for acculturation, sociodemographic factors, and risk factors of breast cancer, but differences remained, most notably for Korean Americans, who continued to have the lowest predicted probability of screening even after adjustment for these factors. Conclusions: This analysis draws attention to low mammography screening rates among Asian-American immigrants, especially recent immigrants who lack health insurance. Given that their breast cancer incidence is rising with length of stay in the United States, it is important to increase regular mammography screening in these groups. (PsycINFO Database Record (c) 2016 APA, all rights reserved)</t>
  </si>
  <si>
    <t>http://search.ebscohost.com.proxy-ub.rug.nl/login.aspx?direct=true&amp;db=psyh&amp;AN=2013-38846-014&amp;site=ehost-live&amp;scope=site</t>
  </si>
  <si>
    <t>What's to Fear from Immigrants? Creating an Assimilationist Threat Scale.</t>
  </si>
  <si>
    <t>Paxton, Pamela; Mughan, Anthony</t>
  </si>
  <si>
    <t>2006-08702-003</t>
  </si>
  <si>
    <t>10.1111/j.1467-9221.2006.00520.x</t>
  </si>
  <si>
    <t>Acculturation; Citizenship; Immigration; Language; Test Construction; Fear; Lifestyle; Social Norms; Threat; Adulthood (18 yrs &amp; older); Male; Female</t>
  </si>
  <si>
    <t>We argue that cultural threat, stressed in recent studies of anti-immigrant sentiment, is properly measured in the U.S. case as 'assimilationist threat': a resentful perception that immigrants are failing to adopt the cultural norms and lifestyle of their new homeland. We explore the meaning and form of assimilationist threat in the minds of Americans through an analysis of four focus groups, two in Los Angeles, CA, and two in Columbus, OH. Using information from the focus groups, we develop and test a set of survey questions covering three dimensions of immigrants' commitment to their new country: language, productivity, and citizenship. We produce a summary scale of assimilationist threat that can be used by other researchers seeking to understand the causes and consequences of anti-immigrant sentiment. (PsycINFO Database Record (c) 2016 APA, all rights reserved)</t>
  </si>
  <si>
    <t>http://search.ebscohost.com.proxy-ub.rug.nl/login.aspx?direct=true&amp;db=psyh&amp;AN=2006-08702-003&amp;site=ehost-live&amp;scope=site</t>
  </si>
  <si>
    <t>When attitudes do not fit: Discordance of acculturation attitudes as an antecedent of intergroup threat.</t>
  </si>
  <si>
    <t>Rohmann, Anette; Piontkowski, Ursula; van Randenborgh, Annette</t>
  </si>
  <si>
    <t>2008-02814-003</t>
  </si>
  <si>
    <t>10.1177/0146167207311197</t>
  </si>
  <si>
    <t>Acculturation; Ingroup Outgroup; Intergroup Dynamics; Minority Groups; Racial and Ethnic Attitudes; Threat; Adulthood (18 yrs &amp; older); Male; Female</t>
  </si>
  <si>
    <t>Recent research has shown that the perspectives of both minorities and majorities should be taken into account to reach a deeper understanding of the acculturation process and its consequences for intergroup relations. The authors report two experiments that investigated the impact of discordant acculturation attitudes on perceived threat. In Study 1 (N = 183), Germans were asked for their attitudes toward Turks and Italians. Different levels of concordance of acculturation attitudes were induced by presenting participants with newspaper articles describing the acculturation attitude of the respective out-group and perceived threat was measured. In Study 2 (N = 100), two fictitious immigrant groups were used as target groups. Results in both studies showed that discordance of acculturation attitudes leads to higher perceptions of intergroup threat than concordance of acculturation attitudes. Furthermore, both studies supported the assumption that a similar out-group is perceived as less threatening than a dissimilar out-group. (PsycINFO Database Record (c) 2016 APA, all rights reserved)</t>
  </si>
  <si>
    <t>http://search.ebscohost.com.proxy-ub.rug.nl/login.aspx?direct=true&amp;db=psyh&amp;AN=2008-02814-003&amp;site=ehost-live&amp;scope=site</t>
  </si>
  <si>
    <t>When real diverges from ideal: How person-environment fit impacts Latina/o immigrants' acculturation and psychosocial wellbeing across four states.</t>
  </si>
  <si>
    <t>Buckingham, Sara L.</t>
  </si>
  <si>
    <t>2017-33539-093</t>
  </si>
  <si>
    <t>Immigration; Well Being; Latinos/Latinas</t>
  </si>
  <si>
    <t>Research indicates that immigrant wellbeing depends upon interactions between immigrants' characteristics and goals, and receiving communities' openness and acceptance (e.g., Phinney, Horenezyk, Liebkind, &amp; Vedder, 2001). Still, most of the immigrant acculturation and wellbeing literature remains acontextual, thus limiting understanding of why some immigrants thrive while others struggle. To address these gaps, this study applied the Relative Acculturation Extended Model (RAEM; Navas et al., 2005) to characterize Latina/o immigrants' ideal and real acculturation across life domains in distinct regions of the United States. It then answered two questions unexplained by the model: (1) Why would ideal acculturation differ from real acculturation? and (2) What impact does the divergence of real acculturation from ideal acculturation have on wellbeing? To address these questions, the current study adopted a concurrent explanatory mixed-method approach (Creswell &amp; Plano-Clark, 2007). Four hundred eighty Latina/o immigrants were recruited from two state pairs (i.e., Arizona and New Mexico, Maryland and Virginia), chosen for their demographic characteristics and immigration-related public policies, to participate in survey measures. A subset of participants (n = 73) participated in 12 focus groups. Quantitative data were primarily analyzed through ANOVA and path analyses and qualitative data were analyzed through constructivist grounded theory, informed by the constructs under study. Results indicated that participants wished to and did adopt more of their receiving communities' cultures in peripheral (e.g., work, economics, political systems, social welfare) and intermediate (e.g., social relationships, friendships) life domains than they did in central (e.g., family relationships, religious customs, ways of thinking, principles, values) life domains. Conversely, they wished to and did maintain their cultures in central life domains more than they did in other life domains. They had more difficulties changing and maintaining cultural customs in preferred ways in peripheral domains. Participants in Arizona, and to some degree, Virginia, were less able to make desired cultural changes than participants in Maryland and New Mexico. The proposed socio-ecological model of acculturation fit the data well, explaining why real acculturation may differ from ideal acculturation. A set of personal and contextual factors (i.e., ideal cultural change; quality of contact with, and acculturative preferences and prejudicial attitudes of the receiving community; perceived threat, and immigration-related public policies) predicted Latina/o immigrants' cultural changes, directly and/or indirectly through their sense of community with the receiving community and/or intergroup anxiety. A similar set of factors influenced Latina/o immigrants' cultural maintenance, directly and/or indirectly through their sense of community with the local Latina/o immigrant community. Qualitative data also indicated that personal characteristics, community resources, and information impacted the ways in which Latina/o immigrants changed and maintained their cultures. Finally, the better Latina/o immigrants were able to change and maintain their cultures in desired ways, the better their self-reported wellbeing, in part due to less acculturative stress with the receiving community. In sum, this study provides insight into reasons for the diverse array of Latina/o immigrant acculturation and wellbeing in the United States in light of their disparate contexts, preferences, and experiences. (PsycINFO Database Record (c) 2017 APA, all rights reserved)</t>
  </si>
  <si>
    <t>http://search.ebscohost.com.proxy-ub.rug.nl/login.aspx?direct=true&amp;db=psyh&amp;AN=2017-33539-093&amp;site=ehost-live&amp;scope=site</t>
  </si>
  <si>
    <t>When the relationship between nationality and religion matters: An investigation into changes in the identity system and inter-group relations as a response to threat. Vol. 1.</t>
  </si>
  <si>
    <t>Chrysanthaki, Theopsiti</t>
  </si>
  <si>
    <t>2019-68374-036</t>
  </si>
  <si>
    <t>Identity Formation; Religion; Threat</t>
  </si>
  <si>
    <t>This thesis is concerned with how multiple identities are perceived to interrelate and the functions they may serve for the individual in the context of stability, change and identity threat. The research focuses on the interrelationship between national and religious identities in Greece. It drew on Identity Process Theory (Breakwell, 1986), Roccas and Brewer's Social Complexity Model (2002) and the work of Kay Deaux (1993; Deaux, Reid, Mizrahi and Ethier, 1995) to investigate three ways that identities might interrelate: structure, content and motivations. Using self-completed questionnaires with some open-ended measures, and 7 semistructured interviews, Study 1 investigated the relationship between the strength of identification, centrality and content of national and religious identity elements. The sample consisted of 107 adult Greeks. Strong relationships were found between the levels of identification and centrality of the two identity elements as well as a large overlap in terms of content, both at an individual and the social representational level. In Study 2, a repeated-measures experimental design was used to investigate the relationship between the two identity elements before and after threat was induced in the principles of national distinctiveness and continuity. The sample consisted of 258 Greek students. It was shown that although the level of identification with each of the national and religious identities is predicted by their respective motivations, the same motivational principles (continuity and self-esteem) predicted levels of identification with the two identities. Furthermore, the motivational principles relating to each of the identity elements were strongly related to each other. Threat to national identity did not only affect the relative contribution that national identity made to the maintenance of the motivational principles but also affected the relative contribution made by the religious identity. Religious identification increased after threat, but most importantly, the relative contribution of its motivational principles changed as a response to the particular type of identity threat induced in the national identity. Study 3 examined the extent to which levels of perceived overlap between national and religious identity elements influence Greek nationals' acculturation preferences from the state and the immigrant/minority groups contextualised also for different domains (citizenship, education and intermarriage) and for different target groups (Albanians, Russian and Greek Moslems of Thrace). It obtained questionnaire data from 316 Greek adults. The results showed that levels of perceived overlap between the two identity elements, was strongly and positively associated with perceived threat to national identity and prejudice and affected differently the levels of endorsement of host majority acculturation in relation to the immigrant/groups and the state. The findings of the thesis are discussed in relation to how the relationships between multiple identities could be usefully conceptualised and how they may be used by individuals as coping strategies under the context of change and/or threat. It is also argued that inter-group perceptions can be better explained by taking into account multiple identities rather than the relative salience of single identities at a particular time. (PsycINFO Database Record (c) 2020 APA, all rights reserved)</t>
  </si>
  <si>
    <t>http://search.ebscohost.com.proxy-ub.rug.nl/login.aspx?direct=true&amp;db=psyh&amp;AN=2019-68374-036&amp;site=ehost-live&amp;scope=site</t>
  </si>
  <si>
    <t>Where do my emotions belong? A study of immigrants’ emotional acculturation.</t>
  </si>
  <si>
    <t>De Leersnyder, Jozefien; Mesquita, Batja; Kim, Heejung S.</t>
  </si>
  <si>
    <t>2011-07362-001</t>
  </si>
  <si>
    <t>10.1177/0146167211399103</t>
  </si>
  <si>
    <t>Acculturation; Cross Cultural Differences; Emotions; Immigration; Life Experiences; Belonging; Adulthood (18 yrs &amp; older); Male; Female</t>
  </si>
  <si>
    <t>The emotional experiences of people who live together tend to be similar; this is true not only for dyads and groups but also for cultures. It raises the question of whether immigrants’ emotions become more similar to host culture patterns of emotional experience; do emotions acculturate? Two studies, on Korean immigrants in the United States (Study 1) and on Turkish immigrants in Belgium (Study 2), measured emotional experiences of immigrants and host group members with the Emotional Patterns Questionnaire. To obtain a measure of the immigrants’ emotional similarity to the host group, their individual emotional patterns were correlated to the average pattern of the host group. Immigrants’ exposure to and engagement in the host culture, but not their acculturation attitudes, predicted emotional acculturation. (PsycINFO Database Record (c) 2016 APA, all rights reserved)</t>
  </si>
  <si>
    <t>http://search.ebscohost.com.proxy-ub.rug.nl/login.aspx?direct=true&amp;db=psyh&amp;AN=2011-07362-001&amp;site=ehost-live&amp;scope=site</t>
  </si>
  <si>
    <t>Who intends to learn and who intends to leave? The intention to leave education early among students from inclusive and regular classes in primary and secondary schools.</t>
  </si>
  <si>
    <t>Schwab, Susanne</t>
  </si>
  <si>
    <t>School Effectiveness and School Improvement</t>
  </si>
  <si>
    <t>2018-38610-001</t>
  </si>
  <si>
    <t>10.1080/09243453.2018.1481871</t>
  </si>
  <si>
    <t>Intention; School Dropouts; Student Attitudes; Student Attrition; Student Characteristics; Elementary Education; Elementary School Students; Family Socioeconomic Level; Human Migration; Junior High School Students; School Adjustment; Secondary Education; Special Education Students; Test Construction; Childhood (birth-12 yrs); School Age (6-12 yrs); Adolescence (13-17 yrs); Male; Female</t>
  </si>
  <si>
    <t>Early school leaving is a serious problem for individual students, especially for students with special educational needs (SEN). This study tests predictors of early school leaving, using data collected among 1,047 students from 60 inclusive and regular classes in primary and secondary schools in Austria with 4th- and 7th-grade students aged 9–11 and 12–14 years. Multilevel regression analyses show that higher school wellbeing and a more positive student–teacher relationship reduce the intention of both 4th and 7th graders to leave school early. Additionally, for 7th graders, having a migrant background and more individualised instruction are predictors of a greater intention to leave school early. School grade, gender, socioeconomic background, SEN, social integration, class climate, school setting (regular class vs. inclusive class), and the heterogeneity of the class composition had no impact on the intention to leave school early. (PsycINFO Database Record (c) 2020 APA, all rights reserved)</t>
  </si>
  <si>
    <t>http://search.ebscohost.com.proxy-ub.rug.nl/login.aspx?direct=true&amp;db=psyh&amp;AN=2018-38610-001&amp;site=ehost-live&amp;scope=site</t>
  </si>
  <si>
    <t>Who to turn to? Help-seeking in response to teen dating violence among Latinos.</t>
  </si>
  <si>
    <t>Sabina, Chiara; Cuevas, Carlos A.; Rodriguez, Rosalie M.</t>
  </si>
  <si>
    <t>Psychology of Violence</t>
  </si>
  <si>
    <t>2014-12075-001</t>
  </si>
  <si>
    <t>10.1037/a0035037</t>
  </si>
  <si>
    <t>Help Seeking Behavior; Social Dating; Sociocultural Factors; Violence; Dating Violence; Acculturation; Immigration; Latinos/Latinas; Childhood (birth-12 yrs); School Age (6-12 yrs); Adolescence (13-17 yrs); Male; Female</t>
  </si>
  <si>
    <t>Objective: Though Latinos are the largest minority in the United States, they are not well represented in teen dating violence research. The current study fills this gap by using a national sample of Latino teens to examine 1) rates of formal and informal help-seeking among Latino teens who experienced dating violence, 2) reasons for not seeking help, and 3) cultural predictors of help-seeking (i.e., immigrant status, acculturation, and familism). Method: Data came from the Dating Violence among Latino Adolescents (DAVILA) study that surveyed 1,525 Latino teens and their caregivers across the United States, 6.2% (n = 95) of which experienced specific forms of physical, sexual and/or stalking dating violence. Telephone interviews were conducted with caregivers and their 12- to 18-year-old Latino teens. Results: Sixty-one percent of victims sought informal help (most commonly from friends) and 16% sought formal help (most commonly from school personnel). The most common reason for not seeking help was 'I didn’t think of it.' Logistic regression analyses revealed that girls and those with higher scores on familism were more likely to seek formal help. Conclusions: Efforts to prevent dating violence and/or intervene in dating violence relationships need further development, including addressing the gendered nature of help-seeking, addressing barriers to services when needed, and building on strengths such as familism and positive social networks. (PsycINFO Database Record (c) 2019 APA, all rights reserved)</t>
  </si>
  <si>
    <t>http://search.ebscohost.com.proxy-ub.rug.nl/login.aspx?direct=true&amp;db=psyh&amp;AN=2014-12075-001&amp;site=ehost-live&amp;scope=site</t>
  </si>
  <si>
    <t>Why bother with testing? The validity of immigrants’ self-assessed language proficiency.</t>
  </si>
  <si>
    <t>Edele, Aileen; Seuring, Julian; Kristen, Cornelia; Stanat, Petra</t>
  </si>
  <si>
    <t>2015-24330-009</t>
  </si>
  <si>
    <t>10.1016/j.ssresearch.2014.12.017</t>
  </si>
  <si>
    <t>Cognitive Development; Immigration; Language Proficiency; Psychometrics; Test Validity; Social Integration; Adolescence (13-17 yrs); Male; Female</t>
  </si>
  <si>
    <t>Due to its central role in social integration, immigrants’ language proficiency is a matter of considerable societal concern and scientific interest. This study examines whether commonly applied self-assessments of linguistic skills yield results that are similar to those of competence tests and thus whether these self-assessments are valid measures of language proficiency. Analyses of data for immigrant youth reveal moderate correlations between language test scores and two types of self-assessments (general ability estimates and concrete performance estimates) for the participants’ first and second languages. More importantly, multiple regression models using self-assessments and models using test scores yield different results. This finding holds true for a variety of analyses and for both types of self-assessments. Our findings further suggest that self-assessed language skills are systematically biased in certain groups. Subjective measures thus seem to be inadequate estimates of language skills, and future research should use them with caution when research questions pertain to actual language skills rather than self-perceptions. (PsycINFO Database Record (c) 2017 APA, all rights reserved)</t>
  </si>
  <si>
    <t>http://search.ebscohost.com.proxy-ub.rug.nl/login.aspx?direct=true&amp;db=psyh&amp;AN=2015-24330-009&amp;site=ehost-live&amp;scope=site</t>
  </si>
  <si>
    <t>Why do majority members prefer immigrants who adopt the host culture? The role of perceived identification with the host nation.</t>
  </si>
  <si>
    <t>Roblain, Antoine; Azzi, Assaad; Licata, Laurent</t>
  </si>
  <si>
    <t>2016-56132-006</t>
  </si>
  <si>
    <t>10.1016/j.ijintrel.2016.08.001</t>
  </si>
  <si>
    <t>Acculturation; Cross Cultural Differences; Immigration; Public Opinion; Identification; Nationalism; Adulthood (18 yrs &amp; older); Young Adulthood (18-29 yrs); Thirties (30-39 yrs); Middle Age (40-64 yrs); Aged (65 yrs &amp; older); Male; Female</t>
  </si>
  <si>
    <t>Research has shown that members of the national majority group generally consider host culture adoption by immigrants as desirable. However, so far, this positive effect of perceived host culture adoption on attitudes toward immigrants has not been explained. We argue that majority members infer national identification of immigrants from their cultural adoption. Moreover, we predict that this inference should decrease majority members’ feeling of ingroup threat, therefore also improving their attitudes toward immigrants. We conducted two experimental studies. In Study 1, majority members who were presented an immigrant group that adopted the host culture held more positive attitudes than those who were presented one that disregarded it. In line with our hypothesis, this effect was fully mediated by perceived identification of the immigrants with the host nation, itself decreasing perception of ingroup threat. Study 2 reproduced the same experimental design, but used descriptions of individual immigrants’ acculturation strategies, and the immigrant group’s status—valued vs. devalued origin—was also manipulated. In addition, Study 2 focused on dimensions of the 'Big Two' of social perception. Results replicated the mediational effect of perceived identification on attribution of both warmth and competence traits. The status manipulation had no significant effect and did not interact with cultural adoption. These two studies provide robust evidence that perception of host nation identification explains the effects of perceived cultural adoption on attitudes towards immigrants. (PsycINFO Database Record (c) 2017 APA, all rights reserved)</t>
  </si>
  <si>
    <t>http://search.ebscohost.com.proxy-ub.rug.nl/login.aspx?direct=true&amp;db=psyh&amp;AN=2016-56132-006&amp;site=ehost-live&amp;scope=site</t>
  </si>
  <si>
    <t>Willingness to use a nursing home in Asian Americans.</t>
  </si>
  <si>
    <t>Jang, Yuri; Rhee, Min-Kyoung; Cho, Yong Ju; Kim, Miyong T.</t>
  </si>
  <si>
    <t>2019-21747-025</t>
  </si>
  <si>
    <t>10.1007/s10903-018-0792-8</t>
  </si>
  <si>
    <t>Asians; Future; Nursing Homes; Quality of Life; Demographic Characteristics; Family; Health; Immigration; Adulthood (18 yrs &amp; older); Young Adulthood (18-29 yrs); Thirties (30-39 yrs); Middle Age (40-64 yrs); Aged (65 yrs &amp; older); Very Old (85 yrs &amp; older); Male; Female</t>
  </si>
  <si>
    <t>This study explores factors associated with willingness to use a nursing home in Asian Americans. Focus is given to demographic variables (age, gender, ethnicity, marital status, and education), health-related variables (chronic medical condition and self-rated health), immigration-related variables (time in the U.S. and acculturation), and family-related variables (family network and family solidarity). Cross-sectional study. Data were drawn from 2551 participants in the 2015 Asian American Quality of Life Survey (aged 18–98). Participants were asked to indicate whether they would be willing to use a nursing home in the future. An affirmative response indicated a personal willingness to use a nursing home. Approximately 38% of the sample demonstrated willingness to use a nursing home. Higher odds for willingness were observed among those with advanced age, female gender, Korean ethnicity (compared with Chinese), better education, presence of a chronic medical condition, longer years of residence in the U.S., and lower levels of family solidarity. Reflecting the current trend of an increase in racial/ethnic minorities in nursing homes, a substantial proportion of the present sample of Asian Americans demonstrated willingness to use a nursing home. Findings on the factors associated with willingness provide implications for policies and services to respond to the long-term care needs of this emerging population. (PsycInfo Database Record (c) 2020 APA, all rights reserved)</t>
  </si>
  <si>
    <t>http://search.ebscohost.com.proxy-ub.rug.nl/login.aspx?direct=true&amp;db=psyh&amp;AN=2019-21747-025&amp;site=ehost-live&amp;scope=site</t>
  </si>
  <si>
    <t>'Without noticing, you become what you see': An exploration of the adjustment and acculturation experiences of Latino immigrant teens.</t>
  </si>
  <si>
    <t>Wade, Elizabeth A.</t>
  </si>
  <si>
    <t>2008-99060-585</t>
  </si>
  <si>
    <t>Acculturation; Immigration; Minority Groups; Latinos/Latinas; Community Attitudes; High School Students; Social Adjustment; Adulthood (18 yrs &amp; older); Female</t>
  </si>
  <si>
    <t>Immigrants from Latin America contribute to what is currently the largest and fastest growing minority group here in the United States (US Census, 2000). The rapid influx of Latin American youth has found many US public schools grapping with the complex challenge of addressing the unique educational, adjustment and acculturation needs of this population. Twenty seven high school students who immigrated to the United States from a Spanish speaking country during their high school years participated in individual interviews and focus group discussions designed to elicit their perspectives on their immigration, adjustment and acculturation experiences. The content of these discussions revealed expectations and realities of immigration, their perspectives on the primary challenges of adjustment, coping mechanisms employed and changes observed in themselves and in relationship with their friends, family and community. The perspectives provided by these students have implications for current adjustment and acculturation theory, acculturation measurement scales and the development of school and community programming designed to address the needs of Latino immigrant youth. (PsycINFO Database Record (c) 2016 APA, all rights reserved)</t>
  </si>
  <si>
    <t>http://search.ebscohost.com.proxy-ub.rug.nl/login.aspx?direct=true&amp;db=psyh&amp;AN=2008-99060-585&amp;site=ehost-live&amp;scope=site</t>
  </si>
  <si>
    <t>Words hurt: Political rhetoric, emotions/affect, and psychological well-being among Mexican-origin youth.</t>
  </si>
  <si>
    <t>Chavez, Leo R.; Campos, Belinda; Corona, Karina; Sanchez, Daina; Ruiz, Catherine Belyeu</t>
  </si>
  <si>
    <t>2019-20573-029</t>
  </si>
  <si>
    <t>10.1016/j.socscimed.2019.03.008</t>
  </si>
  <si>
    <t>Rhetoric; Stress; Well Being; Negative Emotions; Positive Emotions; Emotional Responses; Mass Media; Mexican Americans; Adulthood (18 yrs &amp; older); Male; Female</t>
  </si>
  <si>
    <t>We examined the effect of political rhetoric on the targets of that rhetoric. Drawing from scholarship on anti-Mexican and anti-immigrant rhetoric found readily in various media and scholarship on emotions, we tested four hypotheses. Hypotheses 1 and 2 predicted that positive and negative political rhetoric would increase and decrease positive and negative emotions, respectively. Hypotheses 3 and 4 then predicted that emotional responses to positive or negative political rhetoric would influence perceived stress, subjective health, and subjective well-being. Data collection occurred between August 2016 and June 2017 at a university in California. A sample of 280 Mexican-origin youth, defined broadly as having at least one ancestor born in Mexico or the participant themselves born in Mexico, participated in an experiment where they were randomly assigned to one of three study conditions: viewing (1) positive or (2) negative political rhetoric about immigrants and Latinos in general, or (3) neutral rhetoric as a control condition before providing qualitative responses to open-ended questions and completing measures of positive and negative affect, perceived stress, subjective health, and subjective well-being. Qualitative responses indicated that negative and positive political rhetoric elicited a range of negative emotions and positive emotions, respectively. Quantitative analysis with independent samples t-tests, ANOVA, and linear regression models found that negative political rhetoric elicited higher negative affect than positive and neutral rhetoric, and positive rhetoric elicited higher positive affect than negative and neutral rhetoric. Negative emotional responses, in turn, were associated with participants’ higher perceived stress, lower subjective health and lower subjective well-being. Conversely, positive emotional responses were associated with lower perceived stress, higher subjective health, and higher subjective well-being. Positive political rhetoric, by eliciting positive emotions, can have a salubrious effect. Altogether, these findings suggest that political rhetoric matters for the targets of that rhetoric. (PsycINFO Database Record (c) 2019 APA, all rights reserved)</t>
  </si>
  <si>
    <t>http://search.ebscohost.com.proxy-ub.rug.nl/login.aspx?direct=true&amp;db=psyh&amp;AN=2019-20573-029&amp;site=ehost-live&amp;scope=site</t>
  </si>
  <si>
    <t>Years since migration and wellbeing among Indian and Sri Lankan skilled migrants in Australia: Mediating effects of acculturation.</t>
  </si>
  <si>
    <t>Gunasekara, Asanka; Grant, Sharon; Rajendran, Diana</t>
  </si>
  <si>
    <t>2019-27232-005</t>
  </si>
  <si>
    <t>10.1016/j.ijintrel.2019.02.006</t>
  </si>
  <si>
    <t>Acculturation; Human Migration; Skilled Industrial Workers; South Asian Cultural Groups; Well Being; Adulthood (18 yrs &amp; older); Male; Female</t>
  </si>
  <si>
    <t>The present study investigated language, identity and behavioral acculturation experiences and personal wellbeing among 306 Sri Lankan and Indian skilled migrant employees using a cross-sectional survey. The results indicated that participants were more acculturated to their heritage culture compared to the host culture. The majority of Sri Lankan and Indian skilled migrants were moderately acculturated into Australian society, and were most acculturated in the language dimension, followed by the behavior and identity dimensions respectively. Years since migration predicted overall host acculturation but not overall heritage acculturation. While overall heritage acculturation predicted personal wellbeing, overall host acculturation was a stronger predictor. Testing of a mediation model demonstrated that overall host acculturation fully mediated the relationship between years since migration and wellbeing. Further analysis showed that only host identity and language acculturation, and not host behavior acculturation, mediated the relationship between years since migration and wellbeing. Implications of these findings are discussed. (PsycINFO Database Record (c) 2019 APA, all rights reserved)</t>
  </si>
  <si>
    <t>http://search.ebscohost.com.proxy-ub.rug.nl/login.aspx?direct=true&amp;db=psyh&amp;AN=2019-27232-005&amp;site=ehost-live&amp;scope=site</t>
  </si>
  <si>
    <t>Young Muslim immigrants in Norway: An epidemiological study of their psychosocial adaptation and internalizing problems.</t>
  </si>
  <si>
    <t>2007-12391-002</t>
  </si>
  <si>
    <t>10.1080/10888690701454583</t>
  </si>
  <si>
    <t>Immigration; Internalization; Muslims; Social Adjustment; Psychosocial Factors; Adolescence (13-17 yrs); Male; Female</t>
  </si>
  <si>
    <t>The first aim of the present study was to examine internalizing problems and their psychosocial correlates among young Muslim immigrants in Norway as compared to other immigrant youth and host peers. The second aim was to examine adaptation differences among Muslim youth based on national origin and gender. Questionnaire data were collected during school classes from 6306 10th grade students in junior high schools in Oslo. Of the 1666 immigrants in the sample, 1060 (63.3%) originated in countries with majority Muslim population. Internalizing problems were measured in terms of depression and anxiety symptoms. Psychosocial adaptation included measures of general and acculturation-specific risks and resources. In general, Muslim youth appeared well-adapted. However, there were between group differences based on national origin and gender. Also, self-efficacy was identified as an important moderator between acculturation-specific risks and resources and mental health among boys. (PsycINFO Database Record (c) 2016 APA, all rights reserved)</t>
  </si>
  <si>
    <t>http://search.ebscohost.com.proxy-ub.rug.nl/login.aspx?direct=true&amp;db=psyh&amp;AN=2007-12391-002&amp;site=ehost-live&amp;scope=site</t>
  </si>
  <si>
    <t>Younger age and health beliefs associated with being overdue for pap testing among Utah Latinas who were non-adherent to cancer screening guidelines.</t>
  </si>
  <si>
    <t>Lai, Djin; Bodson, Julia; Warner, Echo L.; Ayres, Shauna; Mooney, Ryan; Kepka, Deanna</t>
  </si>
  <si>
    <t>2017-38037-010</t>
  </si>
  <si>
    <t>10.1007/s10903-017-0559-7</t>
  </si>
  <si>
    <t>Cancer Screening; Health Disparities; Latinos/Latinas; Adulthood (18 yrs &amp; older); Thirties (30-39 yrs); Middle Age (40-64 yrs); Male; Female</t>
  </si>
  <si>
    <t>Factors associated with being overdue for Papanicoloau (Pap) testing in a Latina community were examined. Female participants aged ≥ 21 years, who were overdue for one or more cancer screenings (N = 206), were purposively recruited. Descriptive statistics, Fisher’s Exact Tests for count data, and multivariable logistic regressions were conducted. Participants overdue for cancer screening, aged 38–47 years demonstrated lower odds of being overdue for Pap testing compared with those 21–37 years old (OR = 0.11, 95% CI = 0.01–0.49, p = 0.01). Lower perceived susceptibility to cervical cancer (OR = 3.21, p = 0.02), and poorer perceived health (OR = 3.74, p &lt; 0.01) was associated with being overdue for Pap testing. Cost/lack of insurance was the most common barrier reported among those overdue for Pap testing. Among an underserved population of Latinas, cost or a lack of health insurance persist as barriers to Pap testing. Evaluation of systematic barriers to accessing Pap testing for lower-income, uninsured individuals is recommended. (PsycINFO Database Record (c) 2017 APA, all rights reserved)</t>
  </si>
  <si>
    <t>http://search.ebscohost.com.proxy-ub.rug.nl/login.aspx?direct=true&amp;db=psyh&amp;AN=2017-38037-010&amp;site=ehost-live&amp;scope=site</t>
  </si>
  <si>
    <t>year</t>
  </si>
  <si>
    <t>2014</t>
  </si>
  <si>
    <t>2004</t>
  </si>
  <si>
    <t>2007</t>
  </si>
  <si>
    <t>2013</t>
  </si>
  <si>
    <t>2006</t>
  </si>
  <si>
    <t>2015</t>
  </si>
  <si>
    <t>2018</t>
  </si>
  <si>
    <t>2009</t>
  </si>
  <si>
    <t>2012</t>
  </si>
  <si>
    <t>2017</t>
  </si>
  <si>
    <t>2010</t>
  </si>
  <si>
    <t>2020</t>
  </si>
  <si>
    <t>2011</t>
  </si>
  <si>
    <t>2008</t>
  </si>
  <si>
    <t>2005</t>
  </si>
  <si>
    <t>2019</t>
  </si>
  <si>
    <t>2021</t>
  </si>
  <si>
    <t>1948</t>
  </si>
  <si>
    <t>2003</t>
  </si>
  <si>
    <t>2016</t>
  </si>
  <si>
    <t>2002</t>
  </si>
  <si>
    <t>1995</t>
  </si>
  <si>
    <t>1990</t>
  </si>
  <si>
    <t>1989</t>
  </si>
  <si>
    <t>1997</t>
  </si>
  <si>
    <t>1964</t>
  </si>
  <si>
    <t>2000</t>
  </si>
  <si>
    <t>1998</t>
  </si>
  <si>
    <t>2001</t>
  </si>
  <si>
    <t>Title</t>
  </si>
  <si>
    <t>TitleNote</t>
  </si>
  <si>
    <t>PublicationTitle</t>
  </si>
  <si>
    <t>PublicationDate</t>
  </si>
  <si>
    <t>FirstPage</t>
  </si>
  <si>
    <t>PageCount</t>
  </si>
  <si>
    <t>AccessionNumber</t>
  </si>
  <si>
    <t>Url</t>
  </si>
  <si>
    <t>TitleScreening</t>
  </si>
  <si>
    <t>PublicationType</t>
  </si>
  <si>
    <t>journalArticle</t>
  </si>
  <si>
    <t>Acculturation process and life domains: Different perceptions of native and immigrant adults in Italy</t>
  </si>
  <si>
    <t>1874-3501</t>
  </si>
  <si>
    <t>Multidimensional measure of immigrant integration</t>
  </si>
  <si>
    <t>0027-8424</t>
  </si>
  <si>
    <t>The successful integration of immigrants into a host countryâ€™s society, economy, and polity has become a major issue for policymakers in recent decades. Scientific progress in the study of immigrant integration has been hampered by the lack of a common measure of integration, which would allow for the accumulation of knowledge through comparison across studies, countries, and time. To address this fundamental problem, we propose the Immigration Policy Lab (IPL) Integration Index as a pragmatic and multidimensional measure of immigrant integration. The measure, both in the 12-item short form (IPL-12) and the 24-item long form (IPL-24), captures six dimensions of integration: psychological, economic, political, social, linguistic, and navigational. The measure can be used across countries, over time, and across different immigrant groups and can be administered through short questionnaires available in different modes. We report on four surveys we conducted to evaluate the empirical performance of our measure. The tests reveal that the measure distinguishes among immigrant groups with different expected levels of integration and also correlates with well-established predictors of integration. (PsycINFO Database Record (c) 2019 APA, all rights reserved)</t>
  </si>
  <si>
    <t>thesis</t>
  </si>
  <si>
    <t>Purpose development, acculturation, and identity among South Sudanese unaccompanied refugee minors: A multimethod analysis of longitudinal adjustment outcomes</t>
  </si>
  <si>
    <t>An ecological approach to psychological adjustment: A field survey among refugees in Germany</t>
  </si>
  <si>
    <t>0147-1767</t>
  </si>
  <si>
    <t>The situation of refugees in Germany and other countries is a current and important matter. The present study adopts an ecological approach to investigate how refugees perceive the welcoming climate in Germany and the consequences of this perception. To further explore the refugeesâ€™ situation, we examined several predictors of their psychological adjustment and acculturation attitudes. In a field study in Eastern Germany with N = 94 refugees as participants, we assessed the perceived context of reception, and perceived acculturation attitudes as contextual variables, discrimination and contact as intergroup variables and, on the individual level, psychological adjustment as well as the personal acculturation attitudes as dependent variables. The results revealed that more perceived discrimination resulted in an increase in reported psychological problems. Refugees living in asylum centers reported more psychological problems and more perceived discrimination than those living in independent housing. The perceived context of reception positively predicted refugeesâ€™ desire for maintenance of intergroup relations with the host society. Positive intergroup contact lowered their desire for cultural maintenance. In sum, this study gives us rare and valuable insight into refugeesâ€™ perspectives in the context of recent immigration to Germany. In doing so, it emphasizes the importance of a welcoming climate. The study shows how meaningful the assessment of the perceived context of reception is. Practical implications for fields such as the accommodation of refugees are discussed. (PsycINFO Database Record (c) 2019 APA, all rights reserved)</t>
  </si>
  <si>
    <t>Acculturation and psychological well-being among Middle Eastern migrants in Australia: The mediating role of social support and perceived discrimination</t>
  </si>
  <si>
    <t>Objectives: The aim of this study is to examine the relative contribution of acculturation, perceived social support, and perceived discrimination on psychological well-being (PWB) among Middle Eastern (ME) migrants in Australia. Method(s): A cross-sectional study was conducted in Queensland, Australia. A total of 382 first-generation young adult (aged 20â€“39 years) ME migrants completed a self-administered questionnaire. The hypothesised model was tested through a two-step process: measurement, and structural model testing. First, Confirmatory Factor Analysis (CFA) was applied to test the fit of the measurement model and reliability and validity indices were calculated. Structural Equations Modelling (SEM) was then used to test the structural model. The significance of the mediating effect was tested using bootstrapping method. Results: Mainstream acculturation had the greatest accumulated total effect on PWB through both a direct and an indirect effect via perceived discrimination. Ethnic acculturation had the second greatest total effect on PWB, with both a direct effect and indirect effects through perceived social support and perceived discrimination. Perceived discrimination demonstrated both a direct effect and an indirect effect on PWB through perceived social support. Perceived social support had only a direct effect on PWB. Conclusions: Facilitating ME migrantsâ€™ active participation in both ethnic and mainstream societies is important. Moreover, developing ethnic communities associations and resources could be an effective option to provide social support to ME migrants and in turn to improve their PWB. To provide ME migrants with better mental health outcomes, there is still a need to minimize the discrimination against them. (PsycINFO Database Record (c) 2019 APA, all rights reserved)</t>
  </si>
  <si>
    <t>bookSection</t>
  </si>
  <si>
    <t>Safdar, Saba; Gui, Yongxia; Annis, Robert C.; Gibson, Ryan; Berry, John W.</t>
  </si>
  <si>
    <t>Intercultural relations in Canada</t>
  </si>
  <si>
    <t>Mutual intercultural relations</t>
  </si>
  <si>
    <t>978-1-107-18395-7</t>
  </si>
  <si>
    <t>http://search.ebscohost.com.proxy-ub.rug.nl/login.aspx?direct=true&amp;db=psyh&amp;AN=2017-53660-017&amp;site=ehost-live&amp;scope=site</t>
  </si>
  <si>
    <t>Intercultural relations and acculturation in Canada are complex phenomena, involving many groups, such as Indigenous Peoples, immigrants and refugees, ethnocultural groups and sojourners. In this chapter, we report on two studies, one with international students and the other with foreign workers. In both cases, we also include samples from the larger Canadian population with whom they are in contact. The international student study is presented first, followed by the worker study. A general discussion follows the presentation of both studies. With respect to the place of Canada on the three indexes, Canada places highest on the diversity index, near the top on the integration index and second on the policy index. (PsycINFO Database Record (c) 2018 APA, all rights reserved)</t>
  </si>
  <si>
    <t>Berry, John W.</t>
  </si>
  <si>
    <t>Acculturation and psychological adjustment of Vietnamese refugees: An ecological acculturation framework</t>
  </si>
  <si>
    <t>0091-0562</t>
  </si>
  <si>
    <t>Acculturation to the culture of the host society as well as to oneâ€™s heritage culture have been shown to impact immigrantsâ€™ adjustment during the years following resettlement. While acculturation has been identified as an important factor in adjustment of Vietnamese immigrants (Birman and Tran in Am J Orthopsychiatr 78(1):109â€“120. doi: 10.1037/0002-9432.78.1.109 , 2008), no clear pattern of findings has emerged and too few studies have employed an ecological approach. The purpose of this paper is to contextualize the study of acculturation and adjustment by taking an ecological approach to exploring these relationships across several life domains, using a bilinear scale, and examining mediators of these relationships for adult Vietnamese refugees (N = 203) in the United States. We call this approach the Ecological Acculturation Framework (EAF). Results of a structural equation model (SEM) showed that job satisfaction fully mediated the relationship between American acculturation and psychological distress, demonstrating that this relationship was specific to an occupational domain. However, while Vietnamese acculturation predicted co-ethnic social support satisfaction, it did not predict reduced psychological distress. Implications for a life domains approach, including domain specificity, are discussed. (PsycINFO Database Record (c) 2017 APA, all rights reserved)</t>
  </si>
  <si>
    <t>The Vancouver Index of Acculturation (VIA): New evidence on dimensionality and measurement invariance across two cultural settings</t>
  </si>
  <si>
    <t>The Vancouver Index of Acculturation (VIA) is a self-report bidimensional instrument that has been employed in several cultural contexts to assess migrantsâ€™ orientations toward mainstream and heritage traditions. Although it has shown good reliability and validity in the past, recent theoretical developments and empirical studies have suggested the VIA might assess more than two dimensions. Moreover, measurement invariance of this instrument across demographic subgroups has never been assessed before. With the aim of evaluating these psychometric issues, exploratory factor analysis and Rasch modeling were conducted on data from two samples of immigrants to Canada (N = 224) and to Italy (N = 266). Results supported the hypothesized two-factor structure, with Rasch modeling showing that items within a subscale differed in terms of 'difficulty' in being endorsed, but still belonged to a single factor. Differential item functioning analysis results showed measurement invariance across gender, age and education subgroups. Most results converged across the two samples. (PsycINFO Database Record (c) 2019 APA, all rights reserved)</t>
  </si>
  <si>
    <t>After coming in, settling in: An analysis of early-stage acculturation preferences of male Syrian and Iraqi asylum seekers in Belgium</t>
  </si>
  <si>
    <t>0992-986X</t>
  </si>
  <si>
    <t>10.5334/irsp.49</t>
  </si>
  <si>
    <t>Despite the current societal emergency, little is known about the acculturation processes undergone by Syrian and Iraqi asylum seekers. The present paper investigates their early-stage acculturation preferences in relation to their perception of majority membersâ€™ acculturation expectations and to their settlement intentions. 103 Syrian and Iraqi male asylum seekers were recruited during the peak of the 2015 'refugee crisis' in a provisional reception centre and completed a brief questionnaire. Results showed that asylum seekers reported a high willingness to participate in the host society and to adopt the host culture, while maintaining their culture of origin. Moreover, as predicted, asylum seekersâ€™ settlement intentions and their perceptions of majority membersâ€™ acculturation expectations were key predictors of their own acculturation preferences. Implications for integration policies are discussed. (PsycINFO Database Record (c) 2018 APA, all rights reserved)</t>
  </si>
  <si>
    <t>Baranik, Lisa E.; Hurst, Carrie S.; Eby, Lillian T.</t>
  </si>
  <si>
    <t>The stigma of being a refugee: A mixed-method study of refugees' experiences of vocational stress</t>
  </si>
  <si>
    <t>Journal of Vocational Behavior</t>
  </si>
  <si>
    <t>10.1016/j.jvb.2017.09.006</t>
  </si>
  <si>
    <t>http://search.ebscohost.com.proxy-ub.rug.nl/login.aspx?direct=true&amp;db=psyh&amp;AN=2017-49062-001&amp;site=ehost-live&amp;scope=site</t>
  </si>
  <si>
    <t>This concurrent embedded mixed-method study examined vocational stressors and coping mechanisms among refugees. Results from a content analysis of open-ended surveys collected from 159 refugees show that the most frequently reported refugee vocational stressor was access and opportunity (31% of comments made about vocational stressors). This meta-theme encompasses feeling as though past work experience is discounted in the job search, struggles with the job search, and exploitation (e.g., low pay). Other meta-themes included acculturative, discrimination, interpersonal, financial and personal vocational stressors. Qualitative accounts of coping revealed reflection and relaxation (25%) and problem-solving actions (24%) as the most commonly reported coping mechanisms. In addition, refugee-specific coping mechanisms (17%) were frequently reported, and referred to building language skills, engaging in assimilation and multicultural activities, and seeking social support from other refugees. Using the meta-themes that emerged in each vocational stressor category, t-test results show that the experience of discrimination stressors was related to higher levels of self-reported anxiety, depression and sleep disturbances. In addition, the use of avoidance-oriented coping mechanisms was associated with maladaptive outcomes, such as depression, sleep disturbances, and anxiety. Taken together, our results indicate that refugees face many of the vocational stressors typically studied in the occupational health literature (e.g., underemployment). The current study also uncovered unique vocational stressors and coping mechanisms, including evidence for a refugee-specific stigma experienced during the job search process and among refugees who are currently employed. Recommendations for theoretical implications and future research on refugee vocational stressors and coping mechanisms are discussed. (PsycINFO Database Record (c) 2018 APA, all rights reserved)</t>
  </si>
  <si>
    <t>Acculturation and expectations: Unpacking adjustment mechanisms within the Russian-speaking community in Montreal</t>
  </si>
  <si>
    <t>The association between acculturation patterns and mental health symptoms among Eritrean and Sudanese asylum seekers in Israel</t>
  </si>
  <si>
    <t>1099-9809</t>
  </si>
  <si>
    <t>Jurcik, Tomas; Sunohara, Momoka; Yakobov, Esther; Solopieivaâ€Jurcikova, Ielyzaveta; Ahmed, Rana; Ryder, Andrew G.</t>
  </si>
  <si>
    <t>Acculturation and adjustment of migrants reporting trauma: The contextual effects of perceived ethnic density</t>
  </si>
  <si>
    <t>0090-4392</t>
  </si>
  <si>
    <t>Little is known about the relation between acculturation and socioecological contexts of migrants with a personal trauma history living in the community. This study represents an extension of our previous work and aimed to unpack the perceived neighborhood ethnic density (ED) effect and examine the moderating role of ED on the acculturationâ€“adjustment relation in a community sample of migrants with trauma (N = 99) from developing countries residing in Montreal, Canada. ED was protective against general psychological distress but did not predict posttraumatic symptoms. The ED effect was mediated via degree of acculturation to the Frenchâ€“Canadian mainstream cultural context, rather than heritage acculturation, social support, or discrimination. Moreover, protective effects of Frenchâ€“Canadian mainstream acculturation for depressive symptoms and life satisfaction were found under high but not low ED conditions. Similarities and differences with our previous research as well as theoretical and prevention implications are discussed from a personâ€“environment interaction perspective. (PsycINFO Database Record (c) 2019 APA, all rights reserved)</t>
  </si>
  <si>
    <t>Eylem, Ozlem; Dalá¸¡ar, Ä°lker; Ä°nce, BurÃ§in ÃœnlÃ¼; Tok, Firdevs; van Straten, Annemieke; de Wit, Leonore; Kerkhof, Ad. J. F. M.; Bhui, Kamaldeep</t>
  </si>
  <si>
    <t>Acculturation and suicidal ideation among Turkish migrants in the Netherlands</t>
  </si>
  <si>
    <t>0165-1781</t>
  </si>
  <si>
    <t>More suicidal ideation and higher rates of attempted suicide are found in Turkish people when compared with the general population in Europe. Acculturation processes and related distress may explain an elevated risk of suicide. The current study investigates the association between acculturation and suicidal ideation among Turkish migrants in the Netherlands. The mediating effect of hopelessness and moderating effect of secure attachment are also examined. A total of 185 Turkish migrants living in the Netherlands were recruited through social media and through liaison with community groups. They completed an online survey including validated measures of suicidal ideation, hopelessness, acculturation and attachment style. Mediation and moderation analyses were tested using bootstrapping. Higher participation was associated with less hopelessness and less suicidal ideation. Greater maintenance of one's ethnic culture was associated with higher hopelessness and higher suicidal ideation. Greater participation was associated with less suicidal ideation particularly amongst those with less secure attachment styles. Turkish migrants who participate in the host culture may have a lower risk of developing suicidal thinking. Participation may protect against suicidal thinking, particularly among those with less secure attachment styles. (PsycINFO Database Record (c) 2019 APA, all rights reserved)</t>
  </si>
  <si>
    <t>Acculturation and dietary pattern among Iranian immigrants in the United States of America</t>
  </si>
  <si>
    <t>Buckingham, Sara L.; Suarez-Pedraza, M. Cecilia</t>
  </si>
  <si>
    <t>It has cost me a lot to adapt to here': The divergence of real acculturation from ideal acculturation impacts Latinx immigrantsâ€™ psychosocial wellbeing</t>
  </si>
  <si>
    <t>10.1037/ort0000329</t>
  </si>
  <si>
    <t>http://search.ebscohost.com.proxy-ub.rug.nl/login.aspx?direct=true&amp;db=psyh&amp;AN=2018-26985-001&amp;site=ehost-live&amp;scope=site</t>
  </si>
  <si>
    <t>The wellbeing of Latinx immigrants in the United States varies widely. Immigrantsâ€™ changes and maintenance of their cultures, a process known as acculturation, has been postulated to explain differences in wellbeing. However, the mechanisms by which acculturation impacts wellbeing are not fully understood. This study sought to understand the relation between acculturation and wellbeing through a person-environment fit lens, with the hypothesis that the better immigrants can acculturate in ways they prefer (e.g., taking on the practices, values, and identifications they desire), the better their self-reported wellbeing. An explanatory mixed-method approach was used to examine this hypothesis. Four hundred thirty-eight Latinx immigrants (ages 18â€“77, M = 37.88) who had lived in the United States for less than a year to 55 years (M = 16.75 years) completed survey measures in Arizona, New Mexico, Maryland, and Virginia. A subset (n = 73) participated in 12 focus groups. The sample included naturalized citizens (31.0%) along with authorized (33.2%) and unauthorized (35.8%) immigrants, and matched community immigration patterns. Data were analyzed through path analyses and constructivist grounded theory methods. Results indicated that the better Latinx immigrants could acculturate in the ways they preferred, the better their wellbeing. This relation was explained, in part, through lower levels of acculturative stress. This research suggests that practitioners and policymakers should consider ways to support immigrants to acculturate in the ways they desire as opposed to solely focusing their efforts on particular acculturation strategies. (PsycINFO Database Record (c) 2019 APA, all rights reserved)</t>
  </si>
  <si>
    <t>Identity processing styles during cultural transition: Construct and measurement</t>
  </si>
  <si>
    <t>0022-0221</t>
  </si>
  <si>
    <t>Predictors of Soviet Jewish refugees' acculturation: Differentiation of self and acculturative stress</t>
  </si>
  <si>
    <t>Behavioral acculturation, psychological acculturation, and psychological well-being across generations of Vietnamese immigrants and refugees</t>
  </si>
  <si>
    <t>Benitez, Elba Carolina</t>
  </si>
  <si>
    <t>Contributions of documentation status, spiritual coping, and acculturation on the stress level of adult Hispanic immigrants</t>
  </si>
  <si>
    <t>http://search.ebscohost.com.proxy-ub.rug.nl/login.aspx?direct=true&amp;db=psyh&amp;AN=2018-30616-238&amp;site=ehost-live&amp;scope=site</t>
  </si>
  <si>
    <t>Nearly 35% of the more than 55 million Hispanics who live in the United States are foreign-born (U.S. Census Bureau, 2016). The Pew Research Center (2017b) reported that in 2015, approximately 11 million of these were undocumented immigrants. Research has suggested that the mental health of Hispanics is indisputably connected to the immigration experience. Counselors predict that the impact of current political and societal disputes surrounding this population is having a detrimental effect on their mental health and, more specifically, their stress level. Clinicians and, therefore, counselor educators are called upon to the psychological needs of ethnic populations such as Hispanics from a framework that addresses cultural values, communication styles, and socioeconomic factors. Therefore, it is imperative that researchers work to provide counselor educators and clinicians with the tools necessary to assess, diagnose, treat, and support Hispanic clients. This study sought to examine how relevant stressors such as documentation status, spiritual coping, and acculturation precede stress and contribute to that literature. The sample in this study included 139 foreign-born adult Hispanics. The sample was recruited from the researchers established network with two local churches and a local health clinic, all with a predominantly Hispanic representation. Participants responded to the survey in person, anonymously. The complete survey included the Abbreviated Version of the Hispanic Stress Inventory for Immigrants, Spiritual Coping Strategies Scale, and the Psychological Acculturation Scale, and a demographic questionnaire, totaling 58 questions. A standard regression analysis was used to analyze the data, which indicated that documentation status, spiritual coping, and acculturation did not contribute to stress levels in the sample. Findings indicated a small correlation between documentation status and stress and no correlation with the other two variables. Implications for counselors and counselor educators and recommendations for future research are discussed in light of the observations made by the researcher. (PsycINFO Database Record (c) 2018 APA, all rights reserved)</t>
  </si>
  <si>
    <t>Groen, Simon P. N.; Richters, Annemiek J. M.; Laban, Cornelis J.; van Busschbach, Jooske T.; DevillÃ©, Walter L. J. M.</t>
  </si>
  <si>
    <t>Cultural identity confusion and psychopathology: A mixed-methods study among refugees and asylum seekers in the Netherlands</t>
  </si>
  <si>
    <t>0022-3018</t>
  </si>
  <si>
    <t>Abstract Although there is ample empirical evidence that traumatic events, postmigration stress, and acculturation problems have a great impact on the mental health of refugees, so far no studies have included cultural identity after migration in the equation. This mixed-methods study conducted among Afghan and Iraqi refugee and asylum-seeker psychiatric patients aims to fill this gap. Associations between postmigration stress, symptoms of anxiety and depression disorders, and symptoms of posttraumatic stress disorder were significant. When differentiated for the two groups, associations with postmigration stress were no longer significant for Afghan patients, who were predominantly younger and more often single, lower educated, and without resident status compared with Iraqi patients. Qualitative results indicate that, in addition to psychopathology and postmigration stress, acculturation problems contribute to confusion of cultural identity. The findings suggest that reduction of postmigration stress and acculturation problems may clarify cultural identity and as such may contribute to posttraumatic recovery. (PsycINFO Database Record (c) 2019 APA, all rights reserved)</t>
  </si>
  <si>
    <t>Tatarko, Alexander; Berry, John W.; Choi, Keunwon</t>
  </si>
  <si>
    <t>Social capital, acculturation attitudes, and sociocultural adaptation of migrants from central asian republics and south korea in russia</t>
  </si>
  <si>
    <t>1367-2223</t>
  </si>
  <si>
    <t>10.1111/ajsp.12401</t>
  </si>
  <si>
    <t>http://search.ebscohost.com.proxy-ub.rug.nl/login.aspx?direct=true&amp;db=psyh&amp;AN=2020-03007-001&amp;site=ehost-live&amp;scope=site</t>
  </si>
  <si>
    <t>This research examines the relationship of social capital with the acculturation attitudes and sociocultural adaptation of 122 migrants from Central Asian republics of the former Union of Soviet Socialist Republics (Uzbekistan, Tajikistan, Turkmenistan, Kyrgyzstan, and Kazakhstan) and 136 migrants from South Korea. The questionnaire included scales for assessing acculturation attitudes (integration, assimilation, and separation), individual social capital (bridging and bonding), and sociocultural adaptation. Using parallel mediation analysis, we found that acculturation attitudes for migrants from Central Asia are secondary to their social capital in relation to sociocultural adaptation. However, among migrants from South Korea, social capital is not linked to their acculturation attitudes, and in general, its role in sociocultural adaptation is lower as compared to the role of acculturation attitudes. As a whole, our research shows that although sociocultural adaptation for all ethnic groups is linked to acculturation attitudes and social capital, acculturation attitudes for certain ethnic groups can be dependent on social capital. (PsycINFO Database Record (c) 2020 APA, all rights reserved)</t>
  </si>
  <si>
    <t>Acculturative stress, social problem solving, and depressive symptoms among Korean American immigrants</t>
  </si>
  <si>
    <t>1363-4615</t>
  </si>
  <si>
    <t>Autonomyâ€“connectedness, self-construal, and acculturation: Associations with mental health in a multicultural society</t>
  </si>
  <si>
    <t>The present study investigated the associations between self-construal, acculturation, and autonomyâ€“connectedness, as well as the relations between autonomyâ€“connectedness and psychopathological symptoms, controlling for self-construal and acculturation. Participants were 1,209 Dutch individuals, of whom 693 (57.3%) were immigrants with a non-Western background. Results showed that an independent self-construal was positively associated with self-awareness and capacity for managing new situations, and was negatively associated with sensitivity to others (which are the three components of autonomyâ€“connectedness). Moreover, an interdependent self-construal was negatively associated with self-awareness and capacity for managing new situations, and was positively associated with sensitivity to others. Importantly, the latter associations were similar for both Dutch natives and immigrants, and the associations between acculturation and autonomyâ€“connectedness were small and nonsignificant. Autonomyâ€“connectedness, after controlling for self-construal and acculturation, explained a large amount of additional variance in anxiety (12.7%) and depression (14.1), and a medium amount of additional variance in drive for thinness (3.7%) and bulimia (4.8%). Autonomyâ€“connectedness, thus, seems to be an important construct for people with a Western background, as well as for immigrants with a non-Western background. (PsycINFO Database Record (c) 2019 APA, all rights reserved)</t>
  </si>
  <si>
    <t>Self-monitoring: A moderating role between acculturation strategies and adaptation of immigrants</t>
  </si>
  <si>
    <t>Repke, Lydia; Benet-MartÃ­nez, VerÃ³nica</t>
  </si>
  <si>
    <t>The (diverse) company you keep: Content and structure of immigrantsâ€™ social networks as a window into intercultural relations in Catalonia</t>
  </si>
  <si>
    <t>This research examines how the social networks of immigrants residing in a European bicultural and bilingual context (Catalonia) relate to levels of adjustment (both psychological and sociocultural) and to bicultural identity integration (BII). Moroccan, Pakistani, Ecuadorian, and Romanian immigrants residing in Barcelona nominated 25 individuals (i.e., alters) from their habitual social networks and provided demographic (e.g., ethnicity), relationship type (e.g., family, friend, neighbor), and structural (who knew whom) information for each of these alters. Even after controlling for individual-level demographic and acculturation variables, the content and structure of immigrantsâ€™ personal social networks had unique associations with both types of adjustment and with BII. Specifically, the overall degree of cultural diversity in the network and the amount of Catalan (but not Spanish) 'weak' ties (i.e., acquaintances, colleagues, neighbors) positively predicted these outcomes. Amount of interconnectedness between local coethnic and Catalan/Spanish alters also predicted sociocultural adjustment and BII positively. Finally, against a 'culture and language similarity' hypothesis, Moroccan and Pakistani participants had social networks that were more culturally integrated, relative to Ecuadorians and Romanians. Results from this study attest to the importance of examining actual intercultural relations and going beyond individualsâ€™ reported acculturation preferences to understand immigrantsâ€™ overall adaptation and cultural identity dynamics. Furthermore, results highlight the interplay between interculturalism experienced at the intrapersonal, subjective level (i.e., BII), and at the meso-level (i.e., having culturally diverse networks that also include interethnic ties among alters). (PsycINFO Database Record (c) 2020 APA, all rights reserved)</t>
  </si>
  <si>
    <t>Zagefka, Hanna; Brown, Rupert</t>
  </si>
  <si>
    <t>The relationship between acculturation strategies, relative fit and intergroup relations: Immigrant-majority relations in Germany</t>
  </si>
  <si>
    <t>0046-2772</t>
  </si>
  <si>
    <t>10.1002/ejsp.73</t>
  </si>
  <si>
    <t>http://search.ebscohost.com.proxy-ub.rug.nl/login.aspx?direct=true&amp;db=psyh&amp;AN=2002-02688-002&amp;site=ehost-live&amp;scope=site</t>
  </si>
  <si>
    <t>This study examined the impact of the acculturation strategy preferences of both immigrants and host society on intergroup relations. It was expected that integration would lead to the best outcome for both groups. Moreover it was tested whether the relative 'fit' between host society and immigrant strategy preference would predict intergroup relations. The predictive power of two different operationalizations of fit was compared. School students (193 German host society members and 128 immigrants to Germany; 71 males and 150 females, aged 12-19 yrs) participated in a questionnaire study. Findings revealed that both acculturation strategies of one group and relative 'fit' between immigrant and host society strategy preference were predictive of intergroup relations. In general, a strategy of integration was associated with more favorable intergroup relations in both groups, and a mismatch between host and immigrant preferred strategies yielded the most negative outcomes. (PsycINFO Database Record (c) 2016 APA, all rights reserved)</t>
  </si>
  <si>
    <t>Gore, Tara Nasir</t>
  </si>
  <si>
    <t>Achievement motivation in 'Dreamers' and documented Latinx college students</t>
  </si>
  <si>
    <t>http://search.ebscohost.com.proxy-ub.rug.nl/login.aspx?direct=true&amp;db=psyh&amp;AN=2019-46352-054&amp;site=ehost-live&amp;scope=site</t>
  </si>
  <si>
    <t>Past research has examined the factors that can influence achievement motivation in ethnic minority, immigrant, first-generation, and low-income college students. Academic self-efficacy, acculturation, family obligation, and perceived social support have been identified as being relevant to college students' achievement motivation. However, limited research is available regarding the potential impact of these factors on the achievement motivation of undocumented college students (i.e., DREAMers), which is a population with poor college enrollment and retention rates. The primary purpose of this study was to explore the extent to which these factors influenced achievement motivation in documented and undocumented Latinx college students. Participants who identified as documented Latinx college students (N = 160) or DREAMers (N = 84) completed an online survey consisting of a demographic questionnaire, Academic Motivation Scale - College Version, Academic Self-Efficacy Subscale, Short Acculturation Scale for Hispanics, Family Obligation Scale, and Multidimensional Scale of Perceived Social Support. A series of multiple regression analyses indicated that social support was a significant predictor of extrinsic and intrinsic motivation, and family obligation was a significant predictor of intrinsic motivation in documented students. Acculturation and academic self-efficacy were significant predictors of DREAMers' intrinsic motivation and amotivation, respectively. The implications and limitations of these findings are discussed. (PsycINFO Database Record (c) 2019 APA, all rights reserved)</t>
  </si>
  <si>
    <t>Abbas, Mae; Sitharthan, Gomathi; Hough, Michael J.; Hossain, Syeda Zakia</t>
  </si>
  <si>
    <t>An exploratory study of acculturation among Muslims in Australia</t>
  </si>
  <si>
    <t>Social Identities: Journal for the Study of Race, Nation and Culture</t>
  </si>
  <si>
    <t>1350-4630</t>
  </si>
  <si>
    <t>10.1080/13504630.2018.1500279</t>
  </si>
  <si>
    <t>http://search.ebscohost.com.proxy-ub.rug.nl/login.aspx?direct=true&amp;db=psyh&amp;AN=2018-36422-001&amp;site=ehost-live&amp;scope=site</t>
  </si>
  <si>
    <t>Muslims constitute 2.2% of the Australian population. Given the current socio-political climate and the limited research, the present exploratory study explores the relationship between acculturation, ethnic identity, self-identity, generational status, religiosity, and demographics among adult Australian Muslims. A cross-sectional convenience sample of 324 adult Australian Muslims completed either online or paper-based questionnaires in either English or Arabic. Recruitment was via convenience sampling and social media advertisements. Acculturation, ethnic identity (MEIM), religiosity, and demographic variables were measured. The study sample was young and mostly female, with high religiosity levels. Acculturation was negatively correlated with ethnic identity. From multiple regression analysis, acculturation was predicted independently by religiosity (low), age (young), gender (male) and ethnic identity (low). First generation Australian Muslims were older, had stronger ethnic identity and religiosity, and more commonly self-identified as non-Australian. By contrast second- and third-generation were more likely to self-identify as bicultural or Australian. In summary, acculturation of Australian Muslims is influenced by multiple variables, particularly ethnic identity, religiosity, and generation; hence all these variables need to be included in policy regarding successful integration of migrants. (PsycINFO Database Record (c) 2020 APA, all rights reserved)</t>
  </si>
  <si>
    <t>Dellaserra, Carla L.; Crespo, Noe C.; Todd, Michael; Huberty, Jennifer; Vega-LÃ³pez, Sonia</t>
  </si>
  <si>
    <t>Perceived environmental barriers and behavioral factors as possible mediators between acculturation and leisure-time physical activity among Mexican American adults</t>
  </si>
  <si>
    <t>Journal of Physical Activity &amp; Health</t>
  </si>
  <si>
    <t>1543-3080</t>
  </si>
  <si>
    <t>10.1123/jpah.2016-0701</t>
  </si>
  <si>
    <t>http://search.ebscohost.com.proxy-ub.rug.nl/login.aspx?direct=true&amp;db=psyh&amp;AN=2018-54188-006&amp;site=ehost-live&amp;scope=site</t>
  </si>
  <si>
    <t>Background: The association between acculturation and physical activity (PA) among Mexican American (MA) adults is not understood. This study assessed potential mediating factors that may explain these associations among 75 healthy MA adults [age: 37.5 (9.3) y; 65.3% female]. Methods: Secondary data analysis using hierarchical logistic regression examined whether perceived environmental barriers, social support, and intention to exercise potentially mediated relationships between acculturation level, and total and leisure-time moderate to vigorous PA (MVPA). Data were collected via questionnaire. Results: Most participants (67%) reported lower average household monthly incomes ($0â€“$3000), completed some college or obtained a college degree (64.4%), and were first generation immigrants (59%). Acculturation was associated with greater odds of engaging in total MVPA [odds ratio (OR) = 1.7; 95% confidence interval (CI), 1.2â€“2.4] and leisure-time MVPA (OR = 1.6; 95% CI, 1.1â€“1.2). Perceived environmental barriers were associated with greater odds of engaging in both total and leisure-time MVPA (OR = 4.3; 95% CI, 2.1â€“5.8 and OR = 5.5; 95% CI, 2.0â€“7.0, respectively), and social support was associated with greater odds for total MVPA (OR = 3.7; 95% CI, 1.1â€“6.4). Conclusions: Results provide preliminary evidence for mediating factors that may explain the relationship between acculturation level and PA among MA adults. Contradicting prior evidence, results suggest that PA engagement, despite perceived environmental barriers, is possible among MA adults having stronger social support. (PsycINFO Database Record (c) 2019 APA, all rights reserved)</t>
  </si>
  <si>
    <t>Acculturation, acculturative stressors, and family relationships among Latina/o immigrants</t>
  </si>
  <si>
    <t>Objectives: Family relationships, widely recognized as core to Latino cultures, are known to vary for Latina/o immigrants based on time in the United States. Less is known about (a) how acculturation explains differences in family relationships by time in the US, and (b) whether acculturative stressors influence different aspects of immigrantsâ€™ family relationships. Drawing on an expanded acculturation framework, we explore whether and how attitudinal familism, family contact, and family conflict among immigrant Latina/os vary based on acculturation and acculturative stressors. Method: Using nationally representative data on foreign-born Latina/os (National Latino and Asian American Study; N = 1,618), ordered logistic and OLS regression analyses examined whether differences in family relationships by time in the US are explained by acculturation factors, and whether acculturative stressors are associated with family relationships when controlling for other important sociodemographic factors. Results: Accounting for acculturation reduces the effect of time in the US on attitudinal familism and family conflict to nonsignificance. Spanish language proficiency and ethnic identity are associated with higher attitudinal familism, while English proficiency is associated with increased family conflict. Additionally, acculturative stressors (involuntary context of exit, hostile context of reception, limited origin country ties) are associated with lower attitudinal familism and higher conflict. Conclusions: Results highlight the importance of (a) examining the ways that migration influences multiple aspects of family relationships, (b) adopting a more comprehensive acculturation framework. Particularly novel are our findings on how acculturative stressors are associated with different family outcomes. (PsycINFO Database Record (c) 2018 APA, all rights reserved)</t>
  </si>
  <si>
    <t>Horgan, Olga</t>
  </si>
  <si>
    <t>Seeking refuge in Ireland: Acculturation stress and perceived discrimination</t>
  </si>
  <si>
    <t>Cultivating pluralism: Psychological, social and cultural perspectives on a changing Ireland.</t>
  </si>
  <si>
    <t>1-86076-192-5</t>
  </si>
  <si>
    <t>http://search.ebscohost.com.proxy-ub.rug.nl/login.aspx?direct=true&amp;db=psyh&amp;AN=2000-14057-002&amp;site=ehost-live&amp;scope=site</t>
  </si>
  <si>
    <t>Examines the effect of perceived discrimination on acculturation levels and psychological well-being in forced migrants (FMs) and voluntary migrants (VMs) in Ireland. The role of employment, level of trauma experienced prior to arriving in Ireland, length of time in Ireland, age, and gender in acculturation stress (AS) was also examined. Ss were 18 refugees and 15 asylum seekers, and 39 voluntary international students (all Ss aged 16â€“42 yrs) who completed a demographic questionnaire, a modified version of the Recent Events Subscale (RES) of the Schedule of Racist Events (H. Landrine and E. Klonoff, 1996), the Acculturation in Ireland Subscale and the Home Country Subscale, the General Health Questionnaire to assess AS, the Satisfaction with Social Support subscale, and questions about amount of trauma experienced. Findings reveal significant differences between FMs and VMs in perceived discrimination and acculturation level. FMs had higher levels of integration and lower levels of assimilation than did VMs. AS was high, with 48% of FMs and 41% of VMs showing a possible clinical disorder. Satisfaction with social support was related to both groups' levels of AS and FMs' employment status. Despite study limitations, results are in keeping with findings of previous research. (PsycINFO Database Record (c) 2016 APA, all rights reserved)</t>
  </si>
  <si>
    <t>The association of acculturation and depressive and anxiety symptoms in immigrant chronic dialysis patients</t>
  </si>
  <si>
    <t>0163-8343</t>
  </si>
  <si>
    <t>Objective: Among immigrant chronic dialysis patients, depressive and anxiety symptoms are common. We aimed to examine the association of acculturation, i.e. the adaptation of immigrants to a new cultural context, and depressive and anxiety symptoms in immigrant chronic dialysis patients. Methods: The DIVERS study is a prospective cohort study in five urban dialysis centers in the Netherlands. The association of five aspects of acculturation ('Skills', 'Social integration', 'Traditions', 'Values and norms' and 'Loss') and the presence of depressive and anxiety symptoms was determined using linear regression analyses, both univariate and multivariate. Results: A total of 249 immigrant chronic dialysis patients were included in the study. The overall prevalence of depressive and anxiety symptoms was 51% and 47%, respectively. 'Skills' and 'Loss' were significantly associated with the presence of depressive and anxiety symptoms, respectively ('Skills' Î² = 0.34, CI: 0.11â€“0.58, and 'Loss' Î² = 0.19, CI: 0.01â€“0.37; 'Skills' Î² = 0.49, CI: 0.25â€“0.73, and 'Loss' Î² = 0.33, CI: 0.13â€“0.53). The associations were comparable after adjustment. No significant associations were found between the other subscales and depressive and anxiety symptoms. Conclusion: This study demonstrates that less skills for living in the Dutch society and more feelings of loss are associated with the presence of both depressive and anxiety symptoms in immigrant chronic dialysis patients. (PsycINFO Database Record (c) 2018 APA, all rights reserved)</t>
  </si>
  <si>
    <t>SpasojeviÄ‡, Jelena; Heffer, Robert W.; Snyder, Douglas K.</t>
  </si>
  <si>
    <t>Effects of posttraumatic stress and acculturation on marital functioning in Bosnian refugee couples</t>
  </si>
  <si>
    <t>0894-9867</t>
  </si>
  <si>
    <t>10.1023/A:1007750410122</t>
  </si>
  <si>
    <t>http://search.ebscohost.com.proxy-ub.rug.nl/login.aspx?direct=true&amp;db=psyh&amp;AN=2000-03877-003&amp;site=ehost-live&amp;scope=site</t>
  </si>
  <si>
    <t>40 Bosnian refugee couples (aged 23â€“68 yrs) living in the US completed a translated version of the PTSD Symptom Scaleâ€”Self Report, the Behavioral Acculturation Scale, the Marital Satisfaction Inventoryâ€”Revised, and a demographic questionnaire. Posttraumatic stress disorder (PTSD) symptomatology was the best predictor of marital functioning and was negatively related to acculturation. After controlling for PTSD, acculturation did not predict marital functioning. Wives' marital satisfaction was best predicted by husbands' PTSD, husbands' acculturation, and their own PTSD. Husbands' marital satisfaction was not predicted significantly by any of these variables. These findings suggest several implications for mental health professionals dealing with refugees and other traumatized populations. (PsycINFO Database Record (c) 2016 APA, all rights reserved)</t>
  </si>
  <si>
    <t>Aycan, Zeynep; Berry, John W.</t>
  </si>
  <si>
    <t>Impact of employment-related experiences on immigrants' psychological well-being and adaptation to Canada</t>
  </si>
  <si>
    <t>0008-400X</t>
  </si>
  <si>
    <t>10.1037/0008-400X.28.3.240</t>
  </si>
  <si>
    <t>http://search.ebscohost.com.proxy-ub.rug.nl/login.aspx?direct=true&amp;db=psyh&amp;AN=1998-04296-008&amp;site=ehost-live&amp;scope=site</t>
  </si>
  <si>
    <t>Examined the process of acculturation with a specific emphasis on the impact of economic integration on psychological well-being and adaptation. 110 Turkish immigrants (aged 20â€“70 yrs) living in Montreal were surveyed through questionnaires. Despite high educational attainments, two-thirds of the sample were either unemployed or underemployed. Inability to fully integrate into the labor force in the 1st 6 mo in Canada was attributed mainly to lack of competence in both official languages, difficulty in getting credentials and accreditations recognized in Canada, and lack of Canadian work experience. In time, these barriers were overcome. In their place, market conditions (e.g., economic recession) delayed full participation in the work force. The model developed and tested through LISREL 8 demonstrated that adversity experienced in employment life, such as status loss, unemployment, and underemployment, had a negative impact on both psychological well-being and adaptation to Canada. (PsycINFO Database Record (c) 2016 APA, all rights reserved)</t>
  </si>
  <si>
    <t>Acculturation versus cultural retention: The interactive impact of acculturation and co-ethnic ties on substance use among Chinese students in the United States</t>
  </si>
  <si>
    <t>1557-1912</t>
  </si>
  <si>
    <t>MariÃ±o, Rodrigo; Stuart, Geoffrey W.; Minas, I. Harry</t>
  </si>
  <si>
    <t>Acculturation of values and behavior: A study of Vietnamese immigrants</t>
  </si>
  <si>
    <t>Measurement and Evaluation in Counseling and Development</t>
  </si>
  <si>
    <t>0748-1756</t>
  </si>
  <si>
    <t>10.1080/07481756.2000.12068994</t>
  </si>
  <si>
    <t>http://search.ebscohost.com.proxy-ub.rug.nl/login.aspx?direct=true&amp;db=psyh&amp;AN=2000-15658-002&amp;site=ehost-live&amp;scope=site</t>
  </si>
  <si>
    <t>Describes the development of a questionnaire that measured behavioral and psychological acculturation, using the five value orientations of F. Kluckhohn and F. Strodtbeck (1973). Ss included 196 Anglo-Celtic Australians, a main sample of 187 Vietnamese, and a second sample of 147 Vietnamese. A weighted combination of scores regarding different value orientations provided good discrimination between the groups. In addition, this measure was correlated in the expected direction with various demographic variables (e.g., time spent living in the host society, occupational category, icnome). Most important, the psychological acculturation measure showed a degree of independence from behavioral acculturation, confirming the hypothesis that the two major dimensions of acculturation are distinguishable. (PsycINFO Database Record (c) 2017 APA, all rights reserved)</t>
  </si>
  <si>
    <t>John Henryism active coping, acculturation, and psychological health in Korean immigrants</t>
  </si>
  <si>
    <t>1043-6596</t>
  </si>
  <si>
    <t>Acculturation and severity of depression among first-generation Vietnamese outpatients in Germany</t>
  </si>
  <si>
    <t>0020-7640</t>
  </si>
  <si>
    <t>Background: Challenges of migration, particularly concerning the process of acculturation are associated with an increased risk of mental illness. Vietnamese migrants constitute the largest Southeast Asian migrant group in Germany, yet there is no data on the relationship between the mental health status and acculturation among this population. Aims: Therefore, the present study examines the relationship between two well-established dimensions of acculturation, that is, dominant society immersion (DSI) and ethnic society immersion (ESI), the four resulting acculturation strategies (integration, assimilation, separation and marginalization), and severity of depression. Methods: A sample of N = 113 first-generation Vietnamese outpatients from a psychiatric outpatient clinic for Vietnamese migrants in Germany was studied regarding their self-reported depressive symptoms (Beck Depression Inventory-II (BDI-II)) and acculturation (Stephenson Multigroup Acculturation Scale (SMAS)). Results: Consistent with the hypotheses, patients reported less severe depressive symptoms, when they reported higher orientation toward the German and the Vietnamese society. Moreover, the results showed that integrated patients reported a lower severity of depression compared to marginalized patients, who reported the highest severity of depression. Conclusions: The findings indicate that among a sample of first-generation Vietnamese patients with depression, an orientation to both, the mainstream society and oneâ€™s heritage society might serve as a potential resource. The rejection of any orientation to any society is associated with an increased risk for depression. (PsycINFO Database Record (c) 2017 APA, all rights reserved)</t>
  </si>
  <si>
    <t>CÃ¡rdenas, Diana; de la SablonniÃ¨re, Roxane</t>
  </si>
  <si>
    <t>Understanding the relation between participating in the new culture and identification: Two studies with Latin American immigrants</t>
  </si>
  <si>
    <t>Madjlessi, Fereshteh</t>
  </si>
  <si>
    <t>Attachment and acculturation: Predictors of psychological distress and satisfaction with life in Iranian immigrants</t>
  </si>
  <si>
    <t>http://search.ebscohost.com.proxy-ub.rug.nl/login.aspx?direct=true&amp;db=psyh&amp;AN=2017-05712-024&amp;site=ehost-live&amp;scope=site</t>
  </si>
  <si>
    <t>This study aimed to investigate the relationship between attachment styles and acculturation strategies of the 3rd wave (1978-1984) of Iranian immigrants aging in the U.S. to determine which factors may be most associated with psychological distress and quality of life. Attachment theory can help us understand how immigrants develop adaptive ways of relating, as well as coping with change and loss inherent in the migration process. This study utilized a non-experimental, quantitative, correlational method and the sample consisted of 64 participants. They were administered a Demographics Questionnaire, Iranian Acculturation Scale, Relationship Scale Questionnaire, Brief Symptom Inventory-18, and Satisfaction With Life Scale. The data collected was analyzed using a Pearson-moment correlation, multiple regressions, as well as a mediation analysis to determine if level of acculturation is a mediator between attachment and psychological distress. Findings indicated that an individual's attachment style was more predictive of psychological distress than their degree of acculturation but both attachment and acculturation significantly predicted psychological distress and satisfaction with life. Specifically, fearful and preoccupied attachment scores significantly predicted higher report of symptoms and thus lower psychological distress. There was no significant relationship between attachment and acculturation nor between secure attachment and psychological distress. Furthermore, the independent variables (i.e., attachment styles) did not significantly predict the mediator (i.e., acculturation). (PsycINFO Database Record (c) 2017 APA, all rights reserved)</t>
  </si>
  <si>
    <t>Psychological and sociocultural adaptation: Acculturation, depressive symptoms, and life satisfaction among older Iranian immigrants in Canada</t>
  </si>
  <si>
    <t>0731-7115</t>
  </si>
  <si>
    <t>Informed by Wardâ€™s (1996) theory of psychological and sociocultural adaptation, this study identified links between acculturation and the mental health of older Iranian immigrants living in Canada (N = 103). According to Ward and colleagues, both psychological and sociocultural adaptation change at different rates and extend into later life. For this study, participants 50+ years of age and born in Iran completed questionnaires measuring life satisfaction, depressive symptoms, acculturation, and demographic and sociocultural variables (e.g., pre- and post-immigration occupational status). We collected study data anonymously in Persian to obtain responses from long-term residents of Canada as well as more recent immigrants who may not read or write English. We examined both life satisfaction and (the absence of) depressive symptoms as distinct forms of psychological adaptation; these emerged as independent predictors of acculturation. Contrary to theory, acculturation appears to predict life satisfaction, not vice versa; moreover, there seems to be no direct link between depressive symptoms and acculturation. Our findings suggest that integration within Canadian society is associated with higher life satisfaction. In contrast, sociocultural factors are indirectly associated with life satisfaction (except age) and acculturation (except ethnic diversity of social interactions). Involuntary migrants reported higher levels of depression, whereas loss of occupational status is associated with reduced life satisfaction. Implications for future research and health policy are discussed. (PsycINFO Database Record (c) 2017 APA, all rights reserved)</t>
  </si>
  <si>
    <t>Vargas, Katherine</t>
  </si>
  <si>
    <t>The relationship of acculturation, ethnic identity and social support on the psychological well-being of Latino immigrants</t>
  </si>
  <si>
    <t>http://search.ebscohost.com.proxy-ub.rug.nl/login.aspx?direct=true&amp;db=psyh&amp;AN=2017-05715-037&amp;site=ehost-live&amp;scope=site</t>
  </si>
  <si>
    <t>The purpose of this study was to investigate the relationships among acculturation, ethnic identity, and social support and their relationship with the psychological well-being and resilience of Latino immigrants. Questionnaires were administered online and in person using snowball convenience sampling and 111 participants were included in the final analysis. The majority of the participants were female (68.8%) from Mexico (68.5%), with a high school education (52%) and their preferred language was Spanish (81.1%). The majority of the participants were married (62.2%) and the mean age of the participants was 44.68. The results indicated that only social support was positively associated with greater resilience, greater acculturation to American culture and greater psychological well-being. Ethnic identity and psychological well-being were not significantly correlated among Latino immigrants. Resilience was predicted by a model composed of acculturation, ethnic identity and social support although the variance accounted for by the model was low. Psychological well-being was also predicted by acculturation, ethnic identity and social support. However, within the model only acculturation and social support significantly predicted psychological well-being. Implications and future directions in this area of research among Latinos are presented. (PsycINFO Database Record (c) 2017 APA, all rights reserved)</t>
  </si>
  <si>
    <t>Depression among Korean immigrants: The influence of acculturation and social support</t>
  </si>
  <si>
    <t>A decade later: The mental health picture of Bosnian refugees living in the United States</t>
  </si>
  <si>
    <t>Exploring adaptive acculturation approaches among undocumented Latinos: A test of Berryâ€™s model</t>
  </si>
  <si>
    <t>0011-0000</t>
  </si>
  <si>
    <t>In the current study, we sought to (a) determine the extent to which the categories proposed within Berryâ€™s acculturation typologies model could be empirically derived among a sample of undocumented Latino immigrants, and (b) explore which approaches would be associated with the most positive psychological functioning. A community sample of 140 self-reported undocumented Latino immigrants completed questionnaires measuring national and ethnic identity, perceived discrimination, life satisfaction, and flourishing. Latent class analysis extracted three of Berryâ€™s acculturation approaches (separation, integration/biculturalism, and marginalization). Pairwise comparisons indicated that the bicultural approach was the most adaptive, followed by the separated approach. In addition to validating Berryâ€™s acculturation model among undocumented Latino immigrants, the current study taps into psychologyâ€™s commitment to social justice and diversity by extending the literature on the acculturation approaches that may be most beneficial for this highly neglected population. Theoretical and practical implications are discussed. (PsycINFO Database Record (c) 2018 APA, all rights reserved)</t>
  </si>
  <si>
    <t>Loss and fear': Acculturation stresses leading to depression in South Asian Muslim immigrants in Toronto</t>
  </si>
  <si>
    <t>1923-6182</t>
  </si>
  <si>
    <t>Sudanese perspectives on resettlement in Australia</t>
  </si>
  <si>
    <t>1834-4909</t>
  </si>
  <si>
    <t>Resettlement programs for people from a refugee background must respond to a variety of concerns as people from diverse backgrounds and often longstanding periods of upheaval and hardship enter their new resettlement communities. Host countries approach the demands of resettlement through varying programs and policies and those differences across countries can profoundly affect the newcomersâ€™ experiences. The current study employs quantitative and qualitative methods to examine the individual and contextual factors that influence the resettlement experience for adults from Sudan being resettled in Queensland, Australia. Ninety Sudanese adults were recruited through snowball sampling techniques for the quantitative study, with 10 individuals purposefully selected to complete the semistructured qualitative interview. In the quantitative sample, 25 to 30% of participants reported significant symptoms of psychological distress and frequent experiences of discrimination, and the majority of participants reported integration (identifying with both Australian and Sudanese cultures) as their method of acculturation. Participants reported feeling initially welcomed into Australia, with positive influences including bonding and bridging capital, which helped them in their adaptation, and negative influences including problems with the resettlement programs and experiences of discrimination. The findings underscore the importance of sociopolitical context on refugee experiences of the resettlement process. (PsycINFO Database Record (c) 2016 APA, all rights reserved)</t>
  </si>
  <si>
    <t>Behrens, Katharina; del Pozo, Melina A.; GroÃŸhennig, Anika; Sieberer, Marcel; Graef-Calliess, Iris T.</t>
  </si>
  <si>
    <t>How much orientation towards the host culture is healthy? Acculturation style as risk enhancement for depressive symptoms in immigrants</t>
  </si>
  <si>
    <t>Aims: As the specific acculturative tasks and challenges involved in the migration process can lead to an increased risk for depressive symptoms, the study was designed to gain further insight into the interrelation between acculturation styles and mental health. Methods: A total of n = 90 patients with different ethnic backgrounds from an outpatient consultation service for immigrants at the Hannover Medical School were investigated by the Hannover Migration and Mental Health Interview (HMMH), the Centre for Epidemiologic Studies Depression Scale (CES-D) and the Frankfurt Acculturation Scale (FRAKK). Results: The majority of the subjects (84.4%) had a clinically significant depression. The extent of depressive symptoms was determined by the selected acculturation style (1) (F = 3.29, p = .025): Subjects with integration as acculturation style showed less depressive symptoms than subjects with assimilation as acculturation style. Furthermore, subjects with segregation as acculturation style also showed less depressive symptoms than subjects with assimilation. Conclusion: The results suggest that even when undergoing extreme emotional distress, eventually leading to mental disorder, integration, as an acculturation style, seems to serve as a protective resource and possibly prevents further decline. (PsycINFO Database Record (c) 2016 APA, all rights reserved)</t>
  </si>
  <si>
    <t>Taiwanese migrants in Australia: An investigation of their acculturation and wellbeing</t>
  </si>
  <si>
    <t>Taiwanese migrants who have settled in Brisbane, Australia (N = 271) completed a questionnaire battery available in both Mandarin and English. A series of multiple and hierarchical regression analyses were used to investigate the factors associated with these migrantsâ€™ acculturation and indicators of psychological wellbeing. Results indicated that various personal factors (age, English language proficiency, and duration of stay) were associated with acculturation and indicators of psychological wellbeing. Acculturation was not associated with wellbeing. Social support was associated with the indicators of the participantsâ€™ wellbeing. The outcome indicated that although associated with similar personal and environmental factors, acculturation and psychological wellbeing occurred separately. The study highlights the significance of certain personal resources and social support. (PsycINFO Database Record (c) 2017 APA, all rights reserved)</t>
  </si>
  <si>
    <t>Vinokurov, Andrey</t>
  </si>
  <si>
    <t>Development of the Acculturative Hassles Inventory for Russian-speaking elders</t>
  </si>
  <si>
    <t>http://search.ebscohost.com.proxy-ub.rug.nl/login.aspx?direct=true&amp;db=psyh&amp;AN=2001-95018-326&amp;site=ehost-live&amp;scope=site</t>
  </si>
  <si>
    <t>The study involved the development of an acculturative hassles measure for Russian-speaking elderly refugees and immigrants. The measure is based on an ecological perspective, which focuses on hassles involving person-environment transactions and occurring in varied life domains. Conceptual and methodological issues in existing instruments are reviewed and efforts to address current limitations are incorporated into the instrument development. Initial instrument development was guided by a series of semi-structured open-ended interviews with elders from the former Soviet Union. Items were identified to assess acculturative hassles in different life domains, such as extended family, social network, health, discrimination, and language. Next, a validity study was conducted with 312 elders from the former Soviet Union. Using both the overall hassles scale scores and its specific domains' scores, several predictions are made relating overall acculturative hassles to life satisfaction, psychological distress, and level of acculturation to both Russian and American cultures and relating domain-specific hassles to domain-specific outcomes. Overall, the scale was found to be reliable and valid with respect to its overall and domain scores. Furthermore, the scale was able to predict outcomes over and above effects of demographic variables and acculturation. Conceptual and methodological implications for the hassles scales development and validation procedures are presented. (PsycINFO Database Record (c) 2016 APA, all rights reserved)</t>
  </si>
  <si>
    <t>Health literacy, acculturation, and the use of preventive oral health care by Somali refugees living in Massachusetts</t>
  </si>
  <si>
    <t>This study investigated the impact of English health literacy and spoken proficiency and acculturation on preventive dental care use among Somali refugees in Massachusetts. 439 adult Somalis in the US â‰¤ 10 years were interviewed. English functional health literacy, dental word recognition, and spoken proficiency were measured using STOFHLA, REALD, and BEST Plus. Logistic regression tested associations of language measures with preventive dental care use. Without controlling for acculturation, participants with higher health literacy were 2.0 times more likely to have had preventive care (P = 0.02). Subjects with higher word recognition were 1.8 times as likely to have had preventive care (P = 0.04). Controlling for acculturation, these were no longer significant, and spoken proficiency was not associated with increased preventive care use. English health literacy and spoken proficiency were not associated with preventive dental care. Other factors, like acculturation, were more predictive of care use than language skills. (PsycINFO Database Record (c) 2016 APA, all rights reserved)</t>
  </si>
  <si>
    <t>Maehler, DÃ©bora B.; Zabal, Anouk; Hanke, Katja</t>
  </si>
  <si>
    <t>Adultsâ€™ identity in acculturation settings: The multigroup ethnic &amp; national identity measure (meni)</t>
  </si>
  <si>
    <t>Identity: An International Journal of Theory and Research</t>
  </si>
  <si>
    <t>1528-3488</t>
  </si>
  <si>
    <t>10.1080/15283488.2019.1641408</t>
  </si>
  <si>
    <t>http://search.ebscohost.com.proxy-ub.rug.nl/login.aspx?direct=true&amp;db=psyh&amp;AN=2019-40968-001&amp;site=ehost-live&amp;scope=site</t>
  </si>
  <si>
    <t>European societies are facing great challenges not only in successfully integrating large numbers of culturally, linguistically, and religiously diverse immigrants structurally (e.g. into schools or the labor market), but also in fostering the construction of new identities and preserving social cohesion. In this context, it is crucial to understand the commitment people feel to a cultural environment and the way in which such commitment develops, particularly in new cultural settings. However, there is a lack of research on identity development among adult immigrants and natives and a lack of suitable measurement instruments. To address this, we adapted the Multigroup Ethnic Identity Measureâ€“Revised (MEIMâ€“R) for application to immigrant and native adult populations and extended it to measure also national identity. Our aim in the present study was to test the psychometric properties of this new Multigroup Ethnic &amp; National Identity Measure (MENI) in a representative sample (N = 3410) of immigrant and native adults (aged 20â€“72 years) in a European context, namely Germany. Results based on confirmatory factor analyses support a two-factor structure (commitment and exploration) for MENI and confirm scalar invariance across both the immigrant and native adult populations. (PsycINFO Database Record (c) 2019 APA, all rights reserved)</t>
  </si>
  <si>
    <t>Psychological distress and adjustment of Vietnamese refugees in the United States: Association with pre- and postmigration factors</t>
  </si>
  <si>
    <t>The purpose of this study was to examine how pre- and postmigration factors affect the psychological distress and adjustment for a community sample of Vietnamese refugees resettled in the United States. The sample included a substantial proportion of ex-political detainees who experienced a particularly large number of traumatic events prior to migration. Additionally, the study assessed postmigration experiences using multidimensional and bidirectional measures of acculturation to the Vietnamese and American cultures and measures of satisfaction with social support from like-ethnic and host culture network members. Psychological adjustment and distress were assessed with depression, anxiety, alienation, and life satisfaction. Findings show that premigration traumatic experiences predicted only measures of anxiety. The other measures of adjustment and distress were predicted by postmigration factors, including acculturation and social support. In sum, findings suggest that different psychological outcomes are predicted by different pre- and postmigration factors, suggesting that adjustment is a complex process that involves multiple indicators and dimensions. Significant differences were also found between ex-political detainees and other Vietnamese refugees suggesting the importance of considering their unique experience. (PsycINFO Database Record (c) 2016 APA, all rights reserved)</t>
  </si>
  <si>
    <t>Assimilation or integration: Similarities and differences between acculturation attitudes of migrants from Central Asia and Russians in Central Russia</t>
  </si>
  <si>
    <t>2074-6857</t>
  </si>
  <si>
    <t>When acculturation strategies of migrants and acculturation expectations of a host society do not coincide, psychological outcomes for members of the groups in contact can differ significantly. Berry (2013) proposed that intercultural relations can be understood on the basis of three hypotheses: the multiculturalism hypothesis, the integration hypothesis, and the contact hypothesis. Our goal was to test these three hypotheses in Russian majority and Asian minority groups. Migrants from Central Asia (N = 168; 88 ethnic Uzbeks and 80 ethnic Tajiks) and ethnic Russians (N = 158) were surveyed using a self-report questionnaire that included measures developed by the Mutual Intercultural Relations in Plural Societies project. Data processing was carried out using Structural Equation Modeling with the Russians and the migrants separately. We found significant and positive relationships between perceived security and multicultural ideology in both groups. We found a positive relationship between intercultural contacts and the integration strategy among the migrants from Central Asia. Intercultural contacts in the group of Russians was positively related to the expectation of integration and negatively related to the expectation of assimilation. The integration strategy of the migrants was positively related to their self-esteem, while the assimilation strategy was positively related to their sociocultural adaptation and life satisfaction. Among the Russians, the integration expectation promoted their better life satisfaction and self-esteem. The multiculturalism hypothesis was partially supported with both the migrants from Central Asia and the Russians: perceived security promoted an acceptance of multicultural ideology but didnâ€™t promote ethnic tolerance. The contact hypothesis was partially supported in both groups: interethnic contacts were positively linked to the integration strategy of the migrants and the integration expectations of the Russians. The integration hypothesis was fully supported in the sample of Russians and partially supported in the sample of migrants. The migrantsâ€™ adoption of the assimilation strategy promoted their life satisfaction and sociocultural adaptation. (PsycINFO Database Record (c) 2017 APA, all rights reserved)</t>
  </si>
  <si>
    <t>The effect of age and spiritual well-being on acculturation and general heath outcomes in the Romanian immigrant population in the greater Sacramento area</t>
  </si>
  <si>
    <t>Acculturation, discrimination, and depression among unauthorized Latinos/as in the United States</t>
  </si>
  <si>
    <t>De Leersnyder, Jozefien</t>
  </si>
  <si>
    <t>Emotional acculturation: A first review</t>
  </si>
  <si>
    <t>Current Opinion in Psychology</t>
  </si>
  <si>
    <t>2352-2518</t>
  </si>
  <si>
    <t>10.1016/j.copsyc.2017.06.007</t>
  </si>
  <si>
    <t>http://search.ebscohost.com.proxy-ub.rug.nl/login.aspx?direct=true&amp;db=psyh&amp;AN=2017-43925-014&amp;site=ehost-live&amp;scope=site</t>
  </si>
  <si>
    <t>When people move from one cultural context to another, their patterns of emotional experience and expression may change; that is, they may acculturate emotionally. In the current article, I review empirical studies on immigrant minorities that provide first evidence for (i) the phenomenon of emotional acculturation; (ii) the co-existence of heritage and new culture emotional patterns and minoritiesâ€™ switching between the two; and (iii) the potential benefits of minoritiesâ€™ emotional fit with culture. In addition, I outline future directions in this emergent field and highlight how the study of emotional acculturation may inform emotion psychology as it calls for a truly socio-dynamic perspective on what emotions are and how they can/should be studied. (PsycINFO Database Record (c) 2017 APA, all rights reserved)</t>
  </si>
  <si>
    <t>Zlotnick, Cheryl; Dryjanska, Laura; Suckerman, Suzanne</t>
  </si>
  <si>
    <t>The association between acculturation variables and life satisfaction among israeli immigrants from four english-speaking countries</t>
  </si>
  <si>
    <t>1389-4978</t>
  </si>
  <si>
    <t>10.1007/s10902-019-00137-3</t>
  </si>
  <si>
    <t>http://search.ebscohost.com.proxy-ub.rug.nl/login.aspx?direct=true&amp;db=psyh&amp;AN=2019-31046-001&amp;site=ehost-live&amp;scope=site</t>
  </si>
  <si>
    <t>This studyâ€™s primary purpose was to examine the hypothesis that there would be a positive association between acculturation and life satisfaction for English-speaking diaspora immigrants to Israel regardless of country of origin (after adjusting for demographic characteristics including gender, age, years in the host country, reason for immigration and family support). Informed by Bornsteinâ€™s Specificity Principle in Acculturation Science, acculturation was defined by levels of: language acquisition, having realised/met expectations, and self-identification with host country. Using a cross-sectional study design, a convenience sample of English-speaking participants was recruited through a link on a well-known English-language internet site targeting immigrants to Israel. Due to the diversity of respondents, only questionnaires completed by immigrants from the following four countries were included (n = 641): Canada (n = 40), South Africa (n = 66), the United Kingdom (n = 132) and the United States (n = 403). Life satisfaction only was linked to the acculturation variable of having a higher level of realised expectations for life after immigration and reporting good health, but not associated with the other acculturation variables of language acquisition or self-identification with host country. While having realised expectations was related to life satisfaction, the number of years in the host country and language acquisition was not. Having realistic expectations (related to greater life satisfaction) may be increased by providing prospective immigrants information on the new countryâ€™s culture while they are still in the host country and planning their immigration. (PsycINFO Database Record (c) 2019 APA, all rights reserved)</t>
  </si>
  <si>
    <t>Sojournersâ€™ second language learning and integration The moderating effect of multicultural personality traits</t>
  </si>
  <si>
    <t>This study examines the role of trainable intercultural personality traits in the widely assumed link between immigrantsâ€™ second language (L2) learning and their cultural integration in the host country. The research was based on data of temporary immigrants (sojourners), being international students who reside in the Netherlands and participants of a Dutch language course (total N = 163). Questionnaires were used to collect data at two time points (time lag: 3 months). Findings from multiple regression analyses reveal that an increase in L2 proficiency is related to a positive change in two indicators of cultural integration: identification with the host society and attitudes towards the host culture. An increase in L2 proficiency appears to be related to a positive change in terms of identification, regardless of sojournersâ€™ personality traits. With respect to attitudes towards the host culture, however, we find that increasing L2 proficiency only goes together with a positive change in attitudes towards the host culture for sojourners with a high degree of social initiative. Another notable finding is that, in the time period that this study was conducted, sojourners with a high degree of openness became more positive in their attitudes towards the host culture, regardless of the progress they made in terms of L2 proficiency. Results from this study cautiously suggest the importance of social perceptual personality traits in the cultural integration of sojourners. In line with this, institutional policies on the L2 learning of sojourners, including the training of social perceptual personality traits, could be recommendable. (PsycINFO Database Record (c) 2018 APA, all rights reserved)</t>
  </si>
  <si>
    <t>Acculturation strategies and adjustment among immigrant and host Italian communities</t>
  </si>
  <si>
    <t>1972-6325</t>
  </si>
  <si>
    <t>10.4473/TPM23.1.7</t>
  </si>
  <si>
    <t>This study examines the relationships between acculturation strategies, social support, and social wellbeing among Italians and immigrants. The paper outlines the acculturation experience that includes interethnic contact and social distance. Adults (309 Italian members of the host society and 104 immigrants) participated in a questionnaire study. Results confirmed the expected association between acculturation strategies, social distance, and positive emotions toward the outgroup. Italian participants that choose integration as the acculturation strategy showed: lower social distance, more positive emotional feelings toward immigrants, higher social well-being. Furthermore, results showed that for immigrants higher levels of social support nullify the positive effects of intergroup contact on social distance or even increase immigrantsâ€™ intentions to distance themselves from Italians. (PsycINFO Database Record (c) 2019 APA, all rights reserved)</t>
  </si>
  <si>
    <t>DonÃ , G.; Berry, J. W.</t>
  </si>
  <si>
    <t>Acculturation attitudes and acculturative stress of Central American refugees</t>
  </si>
  <si>
    <t>0020-7594</t>
  </si>
  <si>
    <t>10.1080/00207599408246532</t>
  </si>
  <si>
    <t>http://search.ebscohost.com.proxy-ub.rug.nl/login.aspx?direct=true&amp;db=psyh&amp;AN=1995-05127-001&amp;site=ehost-live&amp;scope=site</t>
  </si>
  <si>
    <t>101 Central American refugees who were resettled in Canada completed a questionnaire dealing with their attitudes, behaviors, values, and levels of acculturative stress. Respondents were categorized into 4 modes: Assimilation, Separation, Integration, and Marginalization. Results indicate that different factors are involved in the prediction of psychological and somatic aspects of acculturative stress, with contact with the culture of origin and modes of acculturation being the best predictors. (French abstract) (PsycINFO Database Record (c) 2016 APA, all rights reserved)</t>
  </si>
  <si>
    <t>A standardization study: Acculturation and mental health among Nigerian immigrants in America</t>
  </si>
  <si>
    <t>Emotional intelligence and acculturation</t>
  </si>
  <si>
    <t>Behavioral Psychology / PsicologÃ­a Conductual: Revista Internacional ClÃ­nica y de la Salud</t>
  </si>
  <si>
    <t>1132-9483</t>
  </si>
  <si>
    <t>Moderators of acculturative stress in Pakistani immigrants: The role of personal and social resources</t>
  </si>
  <si>
    <t>[Correction Notice: An erratum for this article was reported in Vol 35(6) of International Journal of Intercultural Relations (see record [rid]2011-27810-016[/rid]). In the original article, Dr. Khalid's name as the co-author has been missed. The correction affiliation should be as follows: Tahira Jibeena, Ruhi Khalidb. aCOMSATS Institute of Information Technology, Department of Humanities, Lahore, Pakistan; bDepartment of Psychology, Beacon House National University, Lahore, Pakistan; Corresponding author. E-mail addresses: tahiraimadali@hotmail.com, tahirajibeen@ciitlahore.edu.pk, rkhalid@bnu.edu.pk (R. Khalid).] International migration research has focused on the immigrantsâ€™ mental and physical health issues with little attention paid to factors that facilitate adjustment. Recently cross-cultural researchers have tended to focus on certain psychological and social moderators of stress that differentiate between migrants perceiving higher stress and those remaining relatively unscathed. The present study examined the moderating impact of coping resources (sense of coherence and perceived social support) and coping strategies (problem-focused and emotion-focused) on the relationship between acculturative stress and psychological wellbeing (positive functioning and negative health outcomes) in stress-coping model. On a final sample of 308 Pakistani immigrants residing in Greater Toronto Area a series of moderated hierarchical regression analyses were performed separately for positive and negative health outcomes. Results indicated that sense of coherence and perceived social support moderated between acculturative stress and positive functioning (self-acceptance, positive relations with others, autonomy, environmental mastery, purpose in life, personal growth), and acculturative stress and negative health outcomes (depression, psychosomatic symptoms, anxiety and insomnia, social dysfunction).The current findings have implications for clinicians, researchers, and policy makers for the identification of resource factors that help to understand the resistant power of growing immigrant population to maintain positive functioning. (PsycINFO Database Record (c) 2019 APA, all rights reserved)</t>
  </si>
  <si>
    <t>Understanding transnational political involvement among Senegalese migrants: The role of acculturation preferences and perceived discrimination</t>
  </si>
  <si>
    <t>In political debates, migrantsâ€™ political involvement in their countries of origin and successful adaptation to receiving countries are often portrayed as incompatible. We address this concern by examining the links between acculturation preferences, perceived discrimination, and migrantsâ€™ transnational political involvement in their country of origin. In line with collective action research, a cross-sectional questionnaire study (N =84) among Senegalese migrants in Paris (France) and Geneva (Switzerland) examined three pathways to transnational political involvement (motivations and actual behaviour). Perceived discrimination, the grievances pathway, was positively related to both transnational motivations (but only when desire to adopt the receiving culture was low) and political behaviour in Senegal. Desire to adopt the culture of the receiving society as an acculturation preference, the embeddedness pathway, was also positively linked to transnational motivations and political behaviour. Finally, desire to maintain the culture of origin as an acculturation preferenceâ€”the collective identification pathwayâ€”was unrelated to transnational political involvement. These findings underscore the compatibility of transnational political involvement in countries of origin and adaptation to receiving societies. We discuss the pivotal role of political psychology in bringing together acculturation psychology and transnationalism studies. (PsycINFO Database Record (c) 2016 APA, all rights reserved)</t>
  </si>
  <si>
    <t>Park, So-Youn; Anastas, Jeane; Shibusawa, Tazuko; Nguyen, Duy</t>
  </si>
  <si>
    <t>The impact of acculturation and acculturative stress on alcohol use across Asian immigrant subgroups</t>
  </si>
  <si>
    <t>1082-6084</t>
  </si>
  <si>
    <t>10.3109/10826084.2013.855232</t>
  </si>
  <si>
    <t>http://search.ebscohost.com.proxy-ub.rug.nl/login.aspx?direct=true&amp;db=psyh&amp;AN=2014-16122-002&amp;site=ehost-live&amp;scope=site</t>
  </si>
  <si>
    <t>Acculturation and acculturative stress are examined as predictors of alcohol use among Asian immigrants, using the 2004 National Latino and Asian Americans Survey (NLAAS). Separate regression analyses were conducted for Chinese (n = 600), Filipino (n = 508), and Vietnamese (n = 520) immigrants. Alcohol use varied for the three groups. English proficiency was associated with drinking for all groups. Family conflict was associated with drinking for Chinese immigrants. General acculturative stress and discrimination were associated with drinking for Vietnamese immigrants. Results underscore acculturation and acculturative stress as being contributors to alcohol consumption, and the importance of considering the heterogeneity of Asian immigrants in research on their alcohol use. The study's limitations are noted. (PsycINFO Database Record (c) 2019 APA, all rights reserved)</t>
  </si>
  <si>
    <t>Meeting the expectations of your heritage culture: Links between attachment orientations, intragroup marginalization and psychological adjustment</t>
  </si>
  <si>
    <t>0265-4075</t>
  </si>
  <si>
    <t>Do insecurely attached individuals perceive greater rejection from their heritage culture? Few studies have examined the antecedents and outcomes of this perceived rejectionâ€”termed intragroup marginalizationâ€”in spite of its implications for the adjustment of cultural migrants to the mainstream culture. This study investigated whether anxious and avoidant attachment orientations among cultural migrants were associated with greater intragroup marginalization and, in turn, with lower subjective well-being and flourishing and higher acculturative stress. Anxious attachment was associated with heightened intragroup marginalization from friends and, in turn, with increased acculturative stress; anxious attachment was also associated with increased intragroup marginalization from family. Avoidant attachment was linked with increased intragroup marginalization from family and, in turn, with decreased subjective well-being. (PsycINFO Database Record (c) 2016 APA, all rights reserved)</t>
  </si>
  <si>
    <t>Iranian-American acculturation of first generation immigrants in Los Angeles and Iranian Acculturation Scale</t>
  </si>
  <si>
    <t>Being prepared for acculturation: On the importance of the first months after immigrants enter a new culture</t>
  </si>
  <si>
    <t>Cernovsky, Zack Z.</t>
  </si>
  <si>
    <t>Escape stress, sleep disorders, and assimilation of refugees</t>
  </si>
  <si>
    <t>0301-2212</t>
  </si>
  <si>
    <t>10.2224/sbp.1990.18.2.287</t>
  </si>
  <si>
    <t>http://search.ebscohost.com.proxy-ub.rug.nl/login.aspx?direct=true&amp;db=psyh&amp;AN=1991-30800-001&amp;site=ehost-live&amp;scope=site</t>
  </si>
  <si>
    <t>38 Czechoslovak refugees (aged 24â€“71 yrs) living in Switzerland completed a questionnaire that included the Gough-Sanford Rigidity Scale, an escape scale, an assimilation scale, a measure of life stress, and a measure of sleep disorders. Repetitive nightmares about escaping their homeland were more frequent in Ss who described their real life act of escape as more frightening or risky. The incidence of escape nightmares correlated significantly with the extent of stress during the S's actual escape. The level of satisfaction with life in the host country was unrelated to the incidence of escape nightmares but was inversely related to incidence of other sleep problems (restless sleep and difficulties falling asleep). (PsycINFO Database Record (c) 2019 APA, all rights reserved)</t>
  </si>
  <si>
    <t>Cernovsky, Zdenek</t>
  </si>
  <si>
    <t>Stressful events and assimilation level of refugees</t>
  </si>
  <si>
    <t>10.2224/sbp.1990.18.1.27</t>
  </si>
  <si>
    <t>http://search.ebscohost.com.proxy-ub.rug.nl/login.aspx?direct=true&amp;db=psyh&amp;AN=1991-07086-001&amp;site=ehost-live&amp;scope=site</t>
  </si>
  <si>
    <t>38 Czech refugees completed a questionnaire measure of assimilation in the host country and measures of postescape life stress. Ss who reported a greater number of stressful events within 10 yrs following their escape obtained lower scores on the assimilation scale. (PsycINFO Database Record (c) 2018 APA, all rights reserved)</t>
  </si>
  <si>
    <t>Acculturation strategies, personality traits and acculturation stress: A study of first generation immigrants from transnational marital context</t>
  </si>
  <si>
    <t>0971-3336</t>
  </si>
  <si>
    <t>This study examined the influence of acculturation strategies (integration and marginalisation) and personality variables of big five trials on acculturative stress among a convenience sample of 76 first generation adults who immigrated to Mauritius after transnational marriages. Response to a structured questionnaire revealed that integration was the most adopted acculturation strategy. Neuroticism, openness to experience and agreeableness emerged as significant predictors of integration and marginalisation (except agreeableness) strategies and acculturative stress. A hierarchical regression analysis revealed neuroticism, openness to experience and marginalisation as significant predictors of acculturative stress. The results suggest that both personality traits and mode of acculturation account for significant variance in the experience of acculturative stress. (PsycINFO Database Record (c) 2016 APA, all rights reserved)</t>
  </si>
  <si>
    <t>LÃ³pezâ€RodrÃ­guez, LucÃ­a; Cuadrado, Isabel; Navas, Marisol</t>
  </si>
  <si>
    <t>Acculturation preferences and behavioural tendencies between majority and minority groups: The mediating role of emotions</t>
  </si>
  <si>
    <t>Spanea, Efrosyni; Kalantzi-Azizi, Anastasia</t>
  </si>
  <si>
    <t>Psychosocial factors, acculturation and mental health in Albanian and Bulgarian economic immigrants in Greece</t>
  </si>
  <si>
    <t>10.3233/978-1-58603-872-4-23</t>
  </si>
  <si>
    <t>http://search.ebscohost.com.proxy-ub.rug.nl/login.aspx?direct=true&amp;db=psyh&amp;AN=2010-10983-003&amp;site=ehost-live&amp;scope=site</t>
  </si>
  <si>
    <t>Migration and its accompanying stressors affect migrating individuals and their families. The process of migration is not simple or straightforward. The aim of this cross-sectional study was to examine relationships among demographic characteristics, acculturation, psychological resilience, social support and symptoms of depression and distress in Albanian and Bulgarian adult immigrants in Greece. Random samples of 404 adult economical immigrants and 376 Greeks citizens, equated by age and sex, completed the following: the Talbieh Brief Distress Inventory (TDBI), the CES-D, two self-administered measures designed to detect distress and depressive symptoms in cross cultural research, the Resilience Scale (RS), a 25-item instrument that assess resilience as a personality style, and the Multidimensional Scale of Perceived Social Support (MSPSS), designed to assess perceptions of social support adequacy from family, friends and significant others. The immigrants also completed the Schmitz's Multicultural Ideology Scale, which assess the acculturation styles applied by immigrants to adjust to a new country (Integration, Assimilation, Separation and Marginalization), as well as a questionnaire about the process of acculturation. Findings include very high scores of depression in immigrants compared to the host population. The number of years since arrival to Greece seem to be unrelated to distress and depression. Additionally, the age of immigrants, the number of children, the lower level of social support from friends and family, and the lower score in Resilience Scale seem to be risk factors for psychological distress, whereas the lower educational level, the residence of the immigrant in the Athens area, the female gender and the lower level of social support from friends and family seems to predict high levels of depression. Findings are discussed in relation to some implications for psychological clinical practice and immigration policy. (PsycINFO Database Record (c) 2019 APA, all rights reserved)</t>
  </si>
  <si>
    <t>Cuadrado, Isabel; GarcÃ­a-Ael, Cristina; Molero, Fernando; Recio, Patricia; PÃ©rez-GarÃ­n, Daniel</t>
  </si>
  <si>
    <t>Acculturation process in romanian immigrants in spain: The role of social support and perceived discrimination</t>
  </si>
  <si>
    <t>1046-1310</t>
  </si>
  <si>
    <t>10.1007/s12144-018-0072-8</t>
  </si>
  <si>
    <t>http://search.ebscohost.com.proxy-ub.rug.nl/login.aspx?direct=true&amp;db=psyh&amp;AN=2018-61623-001&amp;site=ehost-live&amp;scope=site</t>
  </si>
  <si>
    <t>This work focuses on the study of the psychological acculturation process of the largest immigrant group in Spain: Romanian immigrants. It is known that both social support and perceived discrimination affect the acculturation process of immigrant people, but not how those three variables act together. This study aims to analyse the mechanism by which social support affects the acculturation of immigrant people â€“both maintenance and adoption dimensions in public and private acculturation domainsâ€“ and the role played by perceived discrimination â€“both group and individualâ€“ in that relationship. In order to fulfil this goal, 150 immigrant people of Romanian origin (49.3% male) with a mean age of 35.33 years (SD = 11.84) answered a questionnaire, which included the aforementioned variables. Results show that social support has a positive indirect effect on the degree of adoption of Spanish customs (both in public and private domains) by Romanian immigrants through a reduction of their perceived discrimination. Besides, social support has no effect on Romanian immigrantsâ€™ maintenance of home society customs. This research contributes to knowledge on how immigrantsâ€™ perceived social support is related to their adoption of host societyâ€™s customs, highlighting the mediating role of the perceived discrimination in this process. (PsycINFO Database Record (c) 2018 APA, all rights reserved)</t>
  </si>
  <si>
    <t>Vaswani, Mamta; Alviar, Lina; GiguÃ¨re, Benjamin</t>
  </si>
  <si>
    <t>Objectives: The aim of the present study was to examine the understudied immigration and acculturation experience of the growing Latino/a community in Canada. Specifically, we explored the impact of race-based rejection sensitivity on well-being, and whether cultural identity clarity could help curtail any negative effects. Hypothesis 1 was that race-based rejection sensitivity would be negatively associated with well-being. Hypothesis 2 was that cultural identity clarity would moderate the association between race-based rejection sensitivity and well-being such that Latino/a immigrants lower in cultural identity clarity would experience poorer well-being than those higher in cultural identity clarity. Method: A community sample of Latino/a immigrants (N = 136; Mage = 38.21; 51.47% female) completed a survey including measures of race-based rejection sensitivity, cultural identity clarity, bicultural stress, self-esteem, and life satisfaction. Results: Correlation and regression analyses revealed that race-based rejection sensitivity was negatively associated with well-being. Additionally, high cultural identity clarity attenuated the negative association between race-based rejection sensitivity and well-being. Conclusion: Results of the present study suggest maintaining clarity over their heritage cultures postimmigration can be beneficial to Latino/a immigrants in Canada, in particular when they are sensitive to cues of racial discrimination. (PsycINFO Database Record (c) 2019 APA, all rights reserved)</t>
  </si>
  <si>
    <t>Acculturation and school adaptation of Somali Bantu refugee children</t>
  </si>
  <si>
    <t>The number of refugees being uprooted from their homes to seek refuge and resettlement in countries like the United States continues to grow, with large numbers being children. While each refugee group has its own set of challenges when adjusting to a new country, a better understanding of their needs may help facilitate their transition more quickly with lesser challenges. This study investigated the adjustment of one such groupâ€”Somali Bantus in a Midwestern U.S. city. Specifically, acculturation and school adaptation of Somali Bantu refugee children was explored using the Differentiated Multidimensional Model of Acculturation. Somali Bantu refugee children in 5 elementary schools were asked to complete a questionnaire that assessed their level of acculturation to American culture and level of retention of Somali Bantu culture, at three levels i.e. language, identity, and behavior. The 5 ESL teachers were asked to complete a questionnaire that assessed total difficulties in behaviors for each of their Somali Bantu student. Correlations, MANOVAs, and hierarchical regression analyses were used to analyze the data. The findings of this study documented the significant role of school context in the acculturation and school adaptation of these Somali Bantu refugee children. The findings demonstrated that age was statistically, significantly, and negatively related to overall American Acculturation (AAI) and statistically, significantly, and positively related to Proficiency Level Composite scores. These students' AAI scores were statistically, significantly, and positively related to their Somali Acculturation Index (SAI) scores. Furthermore, SAI scores were statistically, significantly, and positively related to grades on Social Behavior and grades on Social Behavior and Work Study Habits were statistically, significantly, and positively related. Also, age and length of time in the country were statistically, significantly, and positively related. The hierarchical regression analyses for AAI and ABA suggested that the demographic variables age, length of time in the US and gender did not contribute to any significant variance and school contributed a moderate variance to the overall AAI and ABA scores. School contributed substantially more incremental variance to ALA and AIA than did the other variables (age, length of time in the US and gender). Overall, the theoretical model including age, length of time in the US, gender and school explained 18, 25, 17 and 13 percent of the variance in the AAI, ALA, AIA and ABA respectively. The hierarchical regression analyses for SAI, SLA, SIA and SBA suggested that the demographic variables age, length of time in the US and gender contributed marginally significant variance. School contributed substantially more incremental variance to SAI, SLA and SBA and a small incremental variance to SIA than did the other demographic variables. Overall, the theoretical model including age, length of time in the US, gender and school explained 36, 20, 15, and 41 percent of the variance in the SAI, SLA, SIA, and SBA respectively. The hierarchical regression analyses for the school outcomes suggested that the demographic variables age, length of time in the US and gender contributed marginally significant variance in Total Difficulties and Proficiency Level Composite scores but none for Grades on Social behavior and Work Study Habits. School contributed slightly more incremental variance to Total Difficulties and Proficiency Level Composite scores a. Acculturation did not contribute to any significant variance in any of the school outcomes. Overall, the theoretical model including age, length of time in the US, gender, school, and American acculturation explained 26, 18, 16, and 38 percent of the variance and age, length of time in the US, gender, school, and Somali acculturation explained 26, 22, 16, and 41 percent of the variance in the Total Diffiâ€¦ (PsycINFO Database Record (c) 2016 APA, all rights reserved)</t>
  </si>
  <si>
    <t>Validity of temporal measures as proxies for measuring acculturation in Asian Indian survey respondents</t>
  </si>
  <si>
    <t>There are few validated acculturation measures for Asian Indians in the U.S. We used the 2004 California Asian Indian Tobacco Survey to examine the relationship between temporal measures and eleven self-reported measures of acculturation. These items were combined to form an acculturation scale. We performed psychometric analysis of scale properties. Greater duration of residence in the U.S., greater percentage of lifetime in the U.S., and younger age at immigration were associated with more acculturated responses to the items for Asian Indians. Item-scale correlations for the 11-item acculturation scale ranged from 0.28â€“0.55 and internal consistency reliability was 0.73. Some support was found for a two-factor solution; one factor corresponding to cultural activities (Î± = 0.70) and the other to social behaviors (Î± = 0.59). Temporal measures only partially capture the full dimensions of acculturation. Our scale captured several domains and possibly two dimensions of acculturation. (PsycINFO Database Record (c) 2018 APA, all rights reserved)</t>
  </si>
  <si>
    <t>Ethnicity, work-related stress and subjective reports of health by migrant workers: A multi-dimensional model</t>
  </si>
  <si>
    <t>1355-7858</t>
  </si>
  <si>
    <t>Objectives: This study integrates different aspects of ethnicity and work-related stress dimensions (based on the Demands-Resources-Individual-Effects model, DRIVE [Mark, G. M., and A. P. Smith. 2008. 'Stress Models: A Review and Suggested New Direction.' In Occupational Health Psychology, edited by J. Houdmont and S. Leka, 111â€“144. Nottingham: Nottingham University Press]) and aims to test a multi-dimensional model that combines individual differences, ethnicity dimensions, work characteristics, and perceived job satisfaction/stress as independent variables in the prediction of subjectives reports of health by workers differing in ethnicity. Design: A questionnaire consisting of the following sections was submitted to 900 workers in Southern Italy: for individual and cultural characteristics, coping strategies, personality behaviours, and acculturation strategies; for work characteristics, perceived job demands and job resources/rewards; for appraisals, perceived job stress/satisfaction and racial discrimination; for subjective reports of health, psychological disorders and general health. To test the reliability and construct validity of the extracted factors referred to all dimensions involved in the proposed model and logistic regression analyses to evaluate the main effects of the independent variables on the health outcomes were conducted. Results: Principal component analysis (PCA) yielded seven factors for individual and cultural characteristics (emotional/relational coping, objective coping, Type A behaviour, negative affectivity, social inhibition, affirmation/maintenance culture, and search identity/adoption of the host culture); three factors for work characteristics (work demands, intrinsic/extrinsic rewards, and work resources); three factors for appraisals (perceived job satisfaction, perceived job stress, perceived racial discrimination) and three factors for subjective reports of health (interpersonal disorders, anxious-depressive disorders, and general health). Logistic regression analyses showed main effects of specific individual and cultural differences, work characteristics and perceived job satisfaction/stress on the risk of suffering health problems. Conclusion: The suggested model provides a strong framework that illustrates how psychosocial and individual variables can influence occupational health in multi-cultural workplaces. (PsycINFO Database Record (c) 2018 APA, all rights reserved)</t>
  </si>
  <si>
    <t>A study of acculturation in psychotic and non-psychotic immigrants living in Athens</t>
  </si>
  <si>
    <t>Background: Acculturation is the phenomenon that results when a group with one culture comes into continuous contact with a host culture. Aims: To investigate the correlation between acculturation and psychotic symptomatology in a group of immigrants suffering from psychosis and to explore differences in demographic factors related with the acculturation process between individuals with and without psychosis. Methods: Sixty-five patients and 317 non-psychotic immigrants were interviewed using the Immigrant Acculturation Scale (IAS) and a structured questionnaire for demographic data. The Positive and Negative Syndrome Scale (PANSS), the Calgary Depression Scale for Schizophrenia (CDSS) and the GlÎ¿bal Assessment of Functioning (GAF) were also administered to all immigrants suffering from psychosis. Results: Total IAS scores, as well as IAS everyday life scores, were positively correlated with GAF scores. IAS everyday life score in the patient group related with religion, marital status, gender and years in Greece, while in the non-psychosis group it was related with gender and years in Greece. IAS wishful orientation/nostos (the strong desire for oneâ€™s homeland) related with religion in both groups. The IAS identity in the psychosis group did not show any significant relation with any of the variables, while in the non-patient group, it was related with marital status, gender and years in Greece. Age, duration of residence in Greece and higher adoption of Greek ethnic identity were the variables that differentiated the two groups of immigrants. Conclusion: Acculturation in immigrants suffering from psychosis could be seen as a process that does not correlate strongly with the severity of the symptomatology but is probably influenced by different set of factors. (PsycINFO Database Record (c) 2016 APA, all rights reserved)</t>
  </si>
  <si>
    <t>YijÃ¤lÃ¤, Anu; Jasinskaja-Lahti, Inga</t>
  </si>
  <si>
    <t>Pre-migration acculturation attitudes among potential ethnic migrants from Russia to Finland</t>
  </si>
  <si>
    <t>This study investigates factors predicting acculturation strategies among potential ethnic migrants prior to their migration. 325 potential migrants from Russia to Finland were surveyed at the pre-migration stage. Factors studied included perceived acculturation expectations of the members of the receiving society, values, cultural identities, general well-being, self-efficacy, cultural knowledge, social networks in the new home country, language proficiency, perceived cultural similarity, support for multicultural ideology and perceived discrimination in the country of origin. In line with the hypotheses, the respondents preferred integration over assimilation, separation and marginalisation strategies. Discriminant analysis was computed to distinguish integrationists, assimilationists and separationists, resulting in two functions that discriminated between the groups. The most important predictors explaining pre-migration acculturation attitudes were the perceptions potential migrants have of future hostsâ€™ preferences for immigrantsâ€™ cultural maintenance and contacts with hosts. In addition, general well-being, Russian identity and support for multicultural ideology significantly predicted acculturation attitudes in the pre-migration stage. The study highlights the importance of acknowledging that acculturation begins already at the pre-migration stage. It contributes to our understanding of pre-acculturation in general and factors affecting the formation of pre-migration acculturation attitudes in particular. (PsycINFO Database Record (c) 2016 APA, all rights reserved)</t>
  </si>
  <si>
    <t>Khawaja, Nigar G.; Hebbani, Aparna; Gallois, Cindy; MacKinnon, Mairead</t>
  </si>
  <si>
    <t>Predictors of employment status: A study of former refugee communities in australia</t>
  </si>
  <si>
    <t>0005-0067</t>
  </si>
  <si>
    <t>10.1111/ap.12388</t>
  </si>
  <si>
    <t>http://search.ebscohost.com.proxy-ub.rug.nl/login.aspx?direct=true&amp;db=psyh&amp;AN=2019-10358-001&amp;site=ehost-live&amp;scope=site</t>
  </si>
  <si>
    <t>Objective There is substantial evidence that refugees' employment experiences are marred by a range of hurdles as they settle in their host country. This study investigated the relationship between a range of independent variables such as, demographic factors, acculturation, acculturative stress, and resilience and the dependent variable that is the employment status of former refugees. Method Questionnaire data were gathered from 169 participants from the Ethiopian, Congolese, and Myanmar communities settled in Brisbane, Australia. Hierarchical logistic regression was used to investigate the factors that predicted employment status. Results Resilience and demographic variables such as age, education, gender, and country of origin were not associated with being employed. Length of stay and English proficiency increased the likelihood of being employed. Surprisingly, an increase in acculturation was associated with the likelihood of being unemployed, while an increase in acculturative stress was associated with the likelihood of being employed. Conclusions These findings indicate that unemployed participants perceived themselves to be acculturated and integrated, while those who were employed reported more acculturative stress. Furthermore, employment despite its positive impact can also be stressful. The study has practical and theoretical implications for stakeholders involved in the employment of refugees. (PsycINFO Database Record (c) 2019 APA, all rights reserved)</t>
  </si>
  <si>
    <t>Social integration, AIDS knowledge and factors related to HIV prevention among migrant workers in Thailand</t>
  </si>
  <si>
    <t>1090-7165</t>
  </si>
  <si>
    <t>Previous research on migrant health indicates that social integration may exert a strong influence on health behavior. However, to our knowledge, this factor has not been integrated into models for HIV prevention. Drawing constructs from the Health Belief Model, the objective of this paper was to determine whether social integration, demographic, relationship and other factors were related to migrantsâ€™ ability to prevent HIV infection through AIDS knowledge and condom use. Data for the study were drawn from a survey of 3,405 male and female migrant laborers from Myanmar, Cambodia and Laos who were working in Thailand in 2010. Regression analysis showed that social integration, participation in an AIDS prevention program, self efficacy, demographic and relationship factors increased AIDS knowledge and condom use with regular and nonregular partners. The social integration of migrants into the Thai community strengthened HIV prevention efforts. (PsycINFO Database Record (c) 2016 APA, all rights reserved)</t>
  </si>
  <si>
    <t>Safdar, Saba; Calvez, Stryker; Lewis, J. Rees</t>
  </si>
  <si>
    <t>Multi-group analysis of the MIDA model: Acculturation of Indian and Russian immigrants to Canada</t>
  </si>
  <si>
    <t>10.1016/j.ijintrel.2011.11.006</t>
  </si>
  <si>
    <t>http://search.ebscohost.com.proxy-ub.rug.nl/login.aspx?direct=true&amp;db=psyh&amp;AN=2012-08090-004&amp;site=ehost-live&amp;scope=site</t>
  </si>
  <si>
    <t>The main objective of the study is to test the Multi-Dimensional Individual Difference Acculturation (MIDA) model with first generation immigrants in Canada. The model incorporates individual level factors that are formulated in the previous acculturation models and includes, Resilience, Self-perceived Cultural Competence, and perception of social support from the larger society and ethnic community, Family Allocentrism, Ethnic Identity, and Hassles as predictor variables of acculturation adaptation. Acculturation strategies were included as intermediate between the predictor and adaptation outcomes. The model was tested with 168 Russian and 114 Indian immigrants living in Metropolitan Toronto, Canada. The similarities and differences between the two groups with regard to psychosocial factors examined in the MIDA model are discussed. (PsycINFO Database Record (c) 2016 APA, all rights reserved)</t>
  </si>
  <si>
    <t>Hanke, Katja; van Egmond, Marieke; Rohmann, Anette; Boehnke, Klaus</t>
  </si>
  <si>
    <t>Intercultural relations in Germany</t>
  </si>
  <si>
    <t>http://search.ebscohost.com.proxy-ub.rug.nl/login.aspx?direct=true&amp;db=psyh&amp;AN=2017-53660-007&amp;site=ehost-live&amp;scope=site</t>
  </si>
  <si>
    <t>Germany has a history of more than forty years of large-scale, primarily economic migration. At present, Germany is close to the middle on the diversity and integration indexes, and below the middle on the policy index. Because of the recent arrival of around one million refugees from West Asia, Germany is an important country to examine and understand views about intercultural relations during this period of transition. The study in this chapter investigates intercultural relations in Germany with two samples from German participants and three other samples with diverse migration backgrounds. Furthermore, we examine how the feelings of well-being of migrants and the majority are related to their feelings of security and intergroup contact. The multiculturalism hypothesis proposes that confidence in one's own identity and place in society leads to the acceptance of culturally different others. In this study, we operationalize confidence in one's own identity and place in society as feeling secure in Germany. For the contact hypothesis, we assess the conditions under which contact is associated with higher levels of acceptance and positive out-group attitudes among minority members. We operationalize 'contact' through the degree of fulfillment of the need to feel connected to Germans. The integration hypothesis proposes that a double engagement with both the culture of origin and the majority society should positively affect the well-being of migrants. We empirically evaluate this hypothesis by assessing two outcomes in relation to the integration strategy: self-esteem and acculturation pursuit. (PsycINFO Database Record (c) 2018 APA, all rights reserved)</t>
  </si>
  <si>
    <t>Acculturation and the cancer pain experience</t>
  </si>
  <si>
    <t>Where do my emotions belong? A study of immigrantsâ€™ emotional acculturation</t>
  </si>
  <si>
    <t>0146-1672</t>
  </si>
  <si>
    <t>The emotional experiences of people who live together tend to be similar; this is true not only for dyads and groups but also for cultures. It raises the question of whether immigrantsâ€™ emotions become more similar to host culture patterns of emotional experience; do emotions acculturate? Two studies, on Korean immigrants in the United States (Study 1) and on Turkish immigrants in Belgium (Study 2), measured emotional experiences of immigrants and host group members with the Emotional Patterns Questionnaire. To obtain a measure of the immigrantsâ€™ emotional similarity to the host group, their individual emotional patterns were correlated to the average pattern of the host group. Immigrantsâ€™ exposure to and engagement in the host culture, but not their acculturation attitudes, predicted emotional acculturation. (PsycINFO Database Record (c) 2016 APA, all rights reserved)</t>
  </si>
  <si>
    <t>Identity development during cultural transition: The role of social-cognitive identity processes</t>
  </si>
  <si>
    <t>Based on fundamental cognitive differences, Berzonsky (1989) proposed three different strategies of exploration behavior that underlie the process of identity development: informational, normative, and diffuse-avoidant styles. The present study extends Berzonsky's theorizing to acculturation research and examines the social-cognitive processes underlying identity development of new immigrants (N = 218). We investigate informational (analytical and exploratory), normative (heritage and host) and diffuse-avoidant identity styles as predictors of identity commitment and identity outcomes (self-esteem, self-concept clarity and ethno-cultural identity conflict). Two positive and two negative pathways to identity outcomes were identified, which were fully or partially mediated by identity commitment. Analytical informational style and normative orientation to the host society predicted stronger identity commitment, which, in turn, resulted in more positive identity outcomes. In contrast, diffuse-avoidant and exploratory informational styles exerted negative effects on identity outcomes via identity commitment. Furthermore, identity commitment buffered the negative impact of normative orientation to the country of origin on self-esteem. Taken together our findings indicate that identity commitment plays a central role in identity reconstruction of new immigrants. (PsycINFO Database Record (c) 2016 APA, all rights reserved)</t>
  </si>
  <si>
    <t>An examination of the relationship between acculturation level and PTSD among central American immigrants in the United States</t>
  </si>
  <si>
    <t>Atri, Ashutosh; Matorin, Anu; Ruiz, Pedro</t>
  </si>
  <si>
    <t>Integration of international medical graduates in US psychiatry: The role of acculturation and social support</t>
  </si>
  <si>
    <t>Academic Psychiatry</t>
  </si>
  <si>
    <t>1042-9670</t>
  </si>
  <si>
    <t>10.1176/appi.ap.35.1.21</t>
  </si>
  <si>
    <t>http://search.ebscohost.com.proxy-ub.rug.nl/login.aspx?direct=true&amp;db=psyh&amp;AN=2011-00678-006&amp;site=ehost-live&amp;scope=site</t>
  </si>
  <si>
    <t>Objective: The authors investigated whether social support and acculturation could predict the mental health of international medical graduates pursuing psychiatric residencies in the United States. Methods: A 55-item online survey was assembled by combining three validated instruments for mental health, social support, and acculturation. A link to the survey was e-mailed to training directors of all psychiatric residency and fellowship programs. Directors were requested to forward the survey to their international medical graduate residents for completion between December 2008 and February 2009. Results: One hundred eight international medical graduates from 70 different psychiatric residencies and fellowships completed the entire survey. Respondents' mental health scores were normally distributed. The vast majority scored very high on survey items related to mental health. Acculturation, social support, and postgraduate training year were significant predictors of mental health. Conclusion: Residency training programs should attempt to incorporate measures that would help boost the social support and acculturation of international medical graduates (especially junior-level trainees). Acculturation could be improved by language training and courses in American history, culture, and customs, and social support could be expanded by mentoring relationships. (PsycINFO Database Record (c) 2016 APA, all rights reserved)</t>
  </si>
  <si>
    <t>The influence of acculturation and attitudes toward interracial marriage</t>
  </si>
  <si>
    <t>Discrimination and acculturation among Arab Muslim immigrants in the US</t>
  </si>
  <si>
    <t>GÃ¼ngÃ¶r, Derya; Bornstein, Marc H.; De Leersnyder, Jozefien; Cote, Linda; Ceulemans, Eva; Mesquita, Batja</t>
  </si>
  <si>
    <t>Acculturation of personality: A three-culture study of Japanese, Japanese Americans, and European Americans</t>
  </si>
  <si>
    <t>The present study tests the hypothesis that involvement with a new culture instigates changes in personality of immigrants that result in (a) better fit with the norms of the culture of destination and (b) reduced fit with the norms of the culture of origin. Participants were 40 Japanese first-generation immigrants to the United States, 57 Japanese monoculturals, and 60 U.S. monoculturals. All participants completed the Jackson Personality Inventory as a measure of the Big Five; immigrants completed the Japanese American Acculturation Scale. Immigrantsâ€™ fits with the cultures of destination and origin were calculated by correlating Japanese American mothersâ€™ patterns of ratings on the Big Five with the average patterns of ratings of European Americans and Japanese on the same personality dimensions. Japanese Americans became more 'American' and less 'Japanese' in their personality as they reported higher participation in the U.S. culture. The results support the view that personality can be subject to cultural influence. (PsycINFO Database Record (c) 2016 APA, all rights reserved)</t>
  </si>
  <si>
    <t>The impact of acculturation on depression among older Muslim immigrants in the United States</t>
  </si>
  <si>
    <t>0163-4372</t>
  </si>
  <si>
    <t>Using a cross-sectional design, this study utilized a self-administered survey to examine the relationship between acculturation, physical and emotional health, health locus of control (LOC), life events and depression among a convenient sample of 70 immigrant Muslim elderly in United States of America. In addition to demographic variables, 5 standardized measures including the Vancouver Index of Acculturation, Center for Epidemiologic Studies Depression Scale (CESD), Iowa Self-Assessment Inventory, Multidimensional Health Locus of Control Scale, and the Geriatric Scale of Recent Life Events were utilized in this study. The results showed that about 50% of participants reported a score of 16 and above on the CESD scale, indicating a presence of depressive symptoms. In addition, most participants identified with their heritage culture compared to the American culture. The results of multiple regression analysis revealed 4 significant predictors of depression: cognitive status (Î² = âˆ’.34, p &lt; .01), heritage culture (Î² = .35, p &lt; .01), physical health (Î² = âˆ’.27, p &lt; .05), and internal health locus of control (Î² = âˆ’.25, p &lt; .05). These factors explain about 37% of the total variance in levels depression (R = .61). (PsycINFO Database Record (c) 2016 APA, all rights reserved)</t>
  </si>
  <si>
    <t>Social markers of acculturation: A new research framework on intercultural adaptation</t>
  </si>
  <si>
    <t>Assessment of the Short Acculturation Scale for Hispanics (SASH) among low-income, immigrant Hispanics</t>
  </si>
  <si>
    <t>0885-8195</t>
  </si>
  <si>
    <t>A multidimensional examination of the acculturation and psychological functioning of a sample of immigrant Chinese mothers in the US</t>
  </si>
  <si>
    <t>0165-0254</t>
  </si>
  <si>
    <t>Personal views about aging among Korean American older adults: The role of physical health, social network, and acculturation</t>
  </si>
  <si>
    <t>0169-3816</t>
  </si>
  <si>
    <t>Given the importance of a positive attitude towards oneâ€™s own aging, we examined its predictors in a sample of 230 Korean American older adults (Mage = 69.8 years, SD = 7.05). Personal views about aging, measured with a subscale of the Philadelphia Geriatric Center Morale Scale (PGCMS), were regressed on demographic variables, physical health-related factors, and psychosocial attributes (social network and acculturation). Results from the hierarchical regression analysis showed that better physical health conditions (fewer chronic conditions, less functional disability, and better vision) were associated with more positive personal views about aging. Other significant contributors included larger social networks and higher levels of acculturation. Findings suggest that personal views about aging among immigrant elderly populations can be enhanced by promoting physical health, social connectedness, and acculturation. Ways to maintain and improve positive attitudes about personal aging are discussed in a cultural context. (PsycINFO Database Record (c) 2016 APA, all rights reserved)</t>
  </si>
  <si>
    <t>Early life and environmental risk factors modify the effect of acculturation on Hispanic children's asthma</t>
  </si>
  <si>
    <t>1540-4153</t>
  </si>
  <si>
    <t>Measuring Acculturation Among Male Arab Immigrants in the United States: An Exploratory Study</t>
  </si>
  <si>
    <t>1096-4045</t>
  </si>
  <si>
    <t>Covariates of subjective wellâ€being among Latin American immigrants in Spain: The role of social integration in the community</t>
  </si>
  <si>
    <t>Knowledge of depression and depression related stigma in immigrants from former Yugoslavia</t>
  </si>
  <si>
    <t>Profiles of acculturative adjustment patterns among Chinese international students</t>
  </si>
  <si>
    <t>0022-0167</t>
  </si>
  <si>
    <t>Ea, E.; Itzhaki, M.; Ehrenfeld, M.; Fitzpatrick, J.</t>
  </si>
  <si>
    <t>Acculturation among immigrant nurses in Israel and the United States of America</t>
  </si>
  <si>
    <t>International Nursing Review</t>
  </si>
  <si>
    <t>0020-8132</t>
  </si>
  <si>
    <t>10.1111/j.1466-7657.2010.00812.x</t>
  </si>
  <si>
    <t>http://search.ebscohost.com.proxy-ub.rug.nl/login.aspx?direct=true&amp;db=psyh&amp;AN=2010-23068-012&amp;site=ehost-live&amp;scope=site</t>
  </si>
  <si>
    <t>Background: Former Soviet Union (FSU) nurses in Israel and Filipino registered nurses (RNs) in the United States of America (USA) play significant roles in the delivery of health-care services in their host countries. However, little is known about how they acculturate in a different culture. Objectives: The purposes of this study were to determine the levels of and the difference in acculturation of FSU nurses in Israel and Filipino RNs in the USA. Methods: Acculturation was assessed using A Short Acculturation Scale for Filipino Americans and t-test was conducted to determine the difference in acculturation between these two groups of immigrant nurses. Findings: Results revealed that Filipino RNs have an acculturation level that leaned towards their host culture while FSU nurses have an acculturation level that was closer to their original culture than the Israeli culture and that there was a significant difference in acculturation between these two groups of immigrant nurses. Conclusions: Differences in acculturation between two predominant groups of immigrant nurses in Israel and the USA exist. Understanding the differences and the factors that affect their integration into their host cultures could be used to develop strategies to assist Filipino and FSU immigrant nurses achieve positive personal and work-related outcomes. (PsycINFO Database Record (c) 2016 APA, all rights reserved)</t>
  </si>
  <si>
    <t>Immigrants' social integration as a function of approachâ€“avoidance orientation and problem-solving style</t>
  </si>
  <si>
    <t>Previous research has shown that immigrantsâ€™ approach orientation positively predicts their attitudes towards contact with host nationals (Matschke &amp; Sassenberg, 2010). The present research builds on this previous work by investigating the extent to which immigrantsâ€™ independent vs. interdependent problem-solving style moderates the relation between approachâ€“avoidance orientation and social integration. Interdependent problem-solvers rely on other people to achieve their goals. This interdependence was expected to reduce the influence of approachâ€“avoidance orientation on integration amongst immigrants. Immigrants to Australia (N = 137) completed a questionnaire that included measures of approachâ€“avoidance orientation and problem-solving style. Participants also completed three measures of social integration: (1) proportion of Australian friends, (2) feelings of inclusion in Australian society, and (3) satisfaction with employment, accommodation, and life in Australia. Consistent with previous research, there was a positive relation between approach and social integration and a negative relation between avoidance and social integration. Consistent with predictions, problem-solving style moderated the relation for approach orientation: Only immigrants who were independent problem-solvers showed a significant positive relation between approach and social integration. The results are discussed in relation to Gableâ€™s (2006) model of approach and avoidance social goals and motives, and the implications for immigration services are considered. (PsycINFO Database Record (c) 2016 APA, all rights reserved)</t>
  </si>
  <si>
    <t>Economic pressure, cultural adaptation stress, and marital quality among Mexican-origin couples</t>
  </si>
  <si>
    <t>0893-3200</t>
  </si>
  <si>
    <t>Based on data from a sample of 120 first-generation Mexican immigrant couples collected at the start of the Great Recession in the United States, this study tested an actorâ€“partner interdependence mediation model (APIMeM) in which spousesâ€™ perceptions of stress related to economic pressure and cultural adaptation were linked to their own and their partnersâ€™ reports of marital satisfaction through spousesâ€™ depressive symptoms and marital negativity. As hypothesized, results supported indirect links between economic and cultural adaptation stressors and spousesâ€™ marital negativity and satisfaction: (1) contextual stress was associated with depressive symptoms, (2) depressive symptoms were positively associated with marital negativity for both husbands and wives and negatively associated with marital satisfaction for wives only, and (3) marital negativity was inversely associated with marital satisfaction for both spouses. Two partner effects emerged: (a) husbandsâ€™ depressive symptoms were positively associated with wivesâ€™ reports of marital negativity and (b) husbandsâ€™ marital negativity was inversely related to wivesâ€™ marital satisfaction. From these findings, we can infer that the psychological distress that arises for Mexican-origin spouses as they respond to the challenges of making ends meet during difficult economic times while they simultaneously navigate adapting to life in a new country is evidenced in their marital quality. Specifically, this study found that contextual stress external to the marital relationship was transmitted via spousesâ€™ psychological distress and negative marital exchanges to spousesâ€™ marital satisfaction. Wivesâ€™ marital satisfaction was shown to be uniquely vulnerable to their own and their husbandsâ€™ depressive symptoms and marital negativity. (PsycINFO Database Record (c) 2016 APA, all rights reserved)</t>
  </si>
  <si>
    <t>Shim, Young R.; Schwartz, Robert C.</t>
  </si>
  <si>
    <t>Degree of acculturation and adherence to Asian values as correlates of psychological distress among Korean immigrants</t>
  </si>
  <si>
    <t>Journal of Mental Health</t>
  </si>
  <si>
    <t>0963-8237</t>
  </si>
  <si>
    <t>10.1080/09638230701506838</t>
  </si>
  <si>
    <t>http://search.ebscohost.com.proxy-ub.rug.nl/login.aspx?direct=true&amp;db=psyh&amp;AN=2008-18892-006&amp;site=ehost-live&amp;scope=site</t>
  </si>
  <si>
    <t>Background: Although psychological distress among Asian immigrants adjusting to a Western society has been reported in the clinical literature, empirical research support for this phenomenon is lacking. This is particularly true regarding Korean immigrants, an Asian population that is currently immigrating to non-Asian countries in large numbers. Aims: This study investigated how degree of acculturation and adherence to Asian values correlate with psychological distress among Korean immigrants (N = 118) in the United States. Method: Participants from the Midwestern United States (N = 118) completed survey packets including a demographic questionnaire, the Suinn-Lew Asian Self-Identity Acculturation Scale, the Asian Values Scale, and the Brief Symptom Inventory 18. Results: A multiple regression analysis revealed that less acculturation, stronger adherence to Asian values, and fewer years of living or being educated in the host country cumulatively predicted heightened psychological distress in this population. However, no single variable alone significantly predicted psychological distress, indicating that additional factors not studied here may influence distress symptoms among Korean immigrants. Conclusion: Psychological distress among Korean immigrants living in a Western culture can be identified, and it is associated with a combination of lifestyle factors that impact mental health. (PsycINFO Database Record (c) 2016 APA, all rights reserved)</t>
  </si>
  <si>
    <t>Cordero, Elizabeth Diane; Gutierrez, Angelica</t>
  </si>
  <si>
    <t>Weight-related eating among less-acculturated Latina college students</t>
  </si>
  <si>
    <t>10.1007/s10903-016-0387-1</t>
  </si>
  <si>
    <t>http://search.ebscohost.com.proxy-ub.rug.nl/login.aspx?direct=true&amp;db=psyh&amp;AN=2016-38255-014&amp;site=ehost-live&amp;scope=site</t>
  </si>
  <si>
    <t>Less-acculturated Latinos have been found to have unique patterns of weight-related eating attitudes and behaviors. This study examined body mass index (BMI), body image, and various facets of emotional distress as contributors to weight-related eating among less-acculturated female Latina college students. It was hypothesized that unique combinations of BMI, body image, depression, anxiety, and stress would predict routine restraint, compensatory restraint, susceptibility to external cues, and emotional eating in less-acculturated Latina college students. Participants were 141 college students from a rural region in southeastern California who completed questionnaires. Preoccupation with being overweight, a body-image variable, significantly predicted routine and compensatory restraint whereas stress was an important correlate of reasons for eating other than hunger. Implications of the findings include the potential to inform models of weight-related eating among less-acculturated Latina college students. Limitations include homogeneity of sample pertinent to Latino descent. Future directions are discussed. (PsycINFO Database Record (c) 2017 APA, all rights reserved)</t>
  </si>
  <si>
    <t>Acculturation is associated with the prevalence of tardive dyskinesia and akathisia in community-treated patients with schizophrenia</t>
  </si>
  <si>
    <t>0001-690X</t>
  </si>
  <si>
    <t>Perfectionism and eating disorder symptomatology in Chinese immigrants: Mediating and moderating effects of ethnic identity and acculturation</t>
  </si>
  <si>
    <t>0887-0446</t>
  </si>
  <si>
    <t>Does motivation to migrate matter? Voluntary and forced African migrants and their acculturation preferences in New Zealand</t>
  </si>
  <si>
    <t>As there is no research on forced migration of African migrants to New Zealand, in particular on the interrelations among psychological motives to migrate and psychological acculturation preferences, the present study aims to address this gap. One hundred and five forced and voluntary African migrants to New Zealand completed a questionnaire, which included two measures (a) the Psychological Motives to Migrate (Tharmaseelan, 2005) and (b) the Psychological Acculturation Index (Mace, 2004). Demographic information, including data on the New Zealand government immigration categories through which the migrant gained entry and length of time in New Zealand, was also collected. Multivariate analyses indicated that motivations to migrate do matter when it comes to acculturation preferences. Further, it was found that psychological motives to migrate were better predictors of acculturation preferences than the government immigration categories. Specifically, voluntary migrants (those motivated by â€˜family life improvementâ€™ and â€˜explorationâ€™) preferred to adapt to New Zealand culture, while forced migrants (those motivated by â€˜escapingâ€™) had a higher preference to maintain their culture of origin. Duration of time in New Zealand was correlated with acculturation preferences. Implications of the findings point to the importance of assessing motivations to migrate from a psychological perspective. (PsycINFO Database Record (c) 2016 APA, all rights reserved)</t>
  </si>
  <si>
    <t>Perfectionism and eating disturbances in Korean immigrants: Moderating effects of acculturation and ethnic identity</t>
  </si>
  <si>
    <t>Sussman, Nan M.; Truong, Nhan</t>
  </si>
  <si>
    <t>Please extinguish all cigarettes': The effects of acculturation and gender on smoking attitudes and smoking prevalence of Chinese and Russian immigrants</t>
  </si>
  <si>
    <t>10.1016/j.ijintrel.2010.11.009</t>
  </si>
  <si>
    <t>http://search.ebscohost.com.proxy-ub.rug.nl/login.aspx?direct=true&amp;db=psyh&amp;AN=2011-06426-002&amp;site=ehost-live&amp;scope=site</t>
  </si>
  <si>
    <t>Acculturation, assessed in several ways, predicted smoking attitudes among 364 male and female Chinese and Russian immigrants to the US. Four aspects of smoking attitudes, using the Smoking Attitude Scale, as well as smoking prevalence were measured. Acculturation level and gender were predictors of attitudes toward smoking. In general, the more years living in the US and the greater the use of English, the more negative the attitudinal dimension, in particular the interpersonal relations subscale. Acculturated immigrants were less likely to want to befriend, date or marry smokers. However, acculturated Chinese and Russian females held a more positive smoking attitude and were more likely to smoke, similar to native-born American females. Implications for smoking cessation campaigns suggest that ethnicity, acculturation level and gender factors should inform the design and placement of such programs. (PsycINFO Database Record (c) 2017 APA, all rights reserved)</t>
  </si>
  <si>
    <t>Acculturation, self-efficacy and social support among Chinese immigrants in Northern Ireland</t>
  </si>
  <si>
    <t>An opportunity sample of 108 Chinese participants (nmale = 51 and nfemale = 57; Mage = 29.34) was compared to a second opportunity sample of 98 Northern Irish participants (nmale = 45 and nfemale = 53; Mage = 23.67) on levels of acculturation, self-efficacy and social support. The administered questionnaire contained three scales to measure the aforementioned constructs. The first was the AMAS-NIC, a version of the Abbreviated Multidimensional Acculturation Scale [Zea, M. C., Asner-Self, K. K., Birman, D., &amp; Buki, L. P. (2003). The Abbreviated Multidimensional Acculturation Scale: Empirical validation with two Latino/Latina samples. Cultural Diversity and Ethnic Minority Psychology, 9, 107â€“126] modified to apply to a population of Chinese immigrants in Northern Ireland. The second measure was Mary Wegner's 1992 English version of the General Self-Efficacy Scale [Wright, S., Johnston, M., &amp; Weinman, J. (1995). Measures in health psychology portfolio. UK: Windsor]. The third was the Social Support Questionnaire (SSQ) whose items emerged through a semi-structured interview and was designed to measure levels of received and sought social support. The purpose of the study was to ascertain the extent to which previous findings concerning acculturation can be generalized to a Chinese immigrant population in Northern Ireland, a country characterized by segregation. T-tests, correlation analyses and a hierarchical regression initially provided support for the generalisability of previous studies on the health benefits of integration as a preferred acculturation strategy [Berry, J. W. (2008). Globalization and acculturation. International Journal of Intercultural Relations, 32, 328â€“336], but further interpretation of the results brought to light the shortcomings of this model in the context of a segregated society and the inapplicability of the GSES measure within a collectivistic immigrant population. The limitations of the study are discussed and recommendations for future research are made. (PsycINFO Database Record (c) 2016 APA, all rights reserved)</t>
  </si>
  <si>
    <t>Measuring acculturation and symptoms of depression of foreign immigrants in the Athens area</t>
  </si>
  <si>
    <t>Bourhis, Richard Y.; Barrette, GeneviÃ¨ve; El-Geledi, Shaha; Schmidt, Ronald Sr.</t>
  </si>
  <si>
    <t>Acculturation orientations and social relations between immigrant and host community members in California</t>
  </si>
  <si>
    <t>Emotional acculturation</t>
  </si>
  <si>
    <t>Changing emotions</t>
  </si>
  <si>
    <t>978-1-84872-090-9</t>
  </si>
  <si>
    <t>Do emotions acculturate when people move from one culture to the next? We conceive of 'emotional acculturation' as the process by which immigrants come to share the host culture's most prevalent patterns of emotional experiences. In this chapter we will discuss the first evidence that emotional acculturation takes place, and provide details on the dynamics of this process. We will also highlight how the finding of emotional acculturation speaks to mechanisms of emotional change generally. (PsycINFO Database Record (c) 2019 APA, all rights reserved)</t>
  </si>
  <si>
    <t>Criteria of sociocultural adjustment: The case of the Russian community in Israel since 1989</t>
  </si>
  <si>
    <t>Development and preliminary validation of multidimensional acculturative stress scale for Pakistani immigrants in Toronto, Canada</t>
  </si>
  <si>
    <t>The multidimensional acculturative stress scale (MASS) was developed to capture the unique stressors in different life domains faced by Pakistani adult immigrants (214) residing in Canada. Exploratory factor analysis of 32-item pool yielded a 24-item measure with five distinct factors including discrimination, threat to ethnic identity, and lack of opportunities for occupational and financial mobility, homesickness and language barrier. The Cronbachâ€™s alpha and internal consistency estimates provided reliability evidence for the total MASS and its five subscales. Further, concurrent validity estimates using the General health Questionnaire-12 (Goldberg &amp; Williams, 1988) and the Psychological Wellbeing Questionnaire (Ryff &amp; Singer, 1996) also supported the use and continued development of the MASS. (PsycINFO Database Record (c) 2018 APA, all rights reserved)</t>
  </si>
  <si>
    <t>The influence of self-construal on acculturation of Indian and Albanian immigrants in Greece: The implications for psychological health</t>
  </si>
  <si>
    <t>not English</t>
  </si>
  <si>
    <t>Acculturative stress and depressive symptoms among Korean immigrant elders residing in non-Korean ethnic enclaves</t>
  </si>
  <si>
    <t>1531-3204</t>
  </si>
  <si>
    <t>Social capital: An investment in understanding and addressing acculturative stress in the Canadian Iraqi-Christian community</t>
  </si>
  <si>
    <t>Back to and beyond Berry's basics: The conceptualization, operationalization and classification of acculturation</t>
  </si>
  <si>
    <t>Berry (1990) distinguished four acculturation attitudes (integration, assimilation, separation and marginalization) arising from two acculturation questions (concerning cultural maintenance and cultural contact). This research examines the distributions of acculturation attitudes based on his original cultural maintenanceâ€“cultural contact conceptualization and on a later cultural maintenanceâ€“cultural adoption model. In line with the Relative Extended Acculturation Model it also compares the outcomes of real (self-reported behavioral) and ideal (attitudinal) assessments of acculturation. Two hundred and eighty-nine first generation immigrants in New Zealand participated in the study. In line with the hypotheses, integration occurred more frequently when derived from cultural contact than from cultural adoption and when acculturation was framed in attitudinal, rather than behavioral, terms. The findings point to the necessity of clearly defining the dimensions of acculturation, ensuring they are appropriately operationalized, and differentiating attitudinal and self-reported behavioral measures. The consequences of the operationalization of acculturation for its relationship to adaptation are also reported and discussed. (PsycINFO Database Record (c) 2016 APA, all rights reserved)</t>
  </si>
  <si>
    <t>Acculturation of Iranians in the United States, the United Kingdom, and the Netherlands: A test of the multidimensional individual difference acculturation (MIDA) model</t>
  </si>
  <si>
    <t>Kosic, Ankica; Kruglanski, Arie W.; Pierro, Antonio; Mannetti, Lucia</t>
  </si>
  <si>
    <t>The Social Cognition of Immigrants' Acculturation: Effects of the Need for Closure and the Reference Group at Entry</t>
  </si>
  <si>
    <t>0022-3514</t>
  </si>
  <si>
    <t>10.1037/0022-3514.86.6.796</t>
  </si>
  <si>
    <t>http://search.ebscohost.com.proxy-ub.rug.nl/login.aspx?direct=true&amp;db=psyh&amp;AN=2004-14304-002&amp;site=ehost-live&amp;scope=site</t>
  </si>
  <si>
    <t>Three studies found support for the notion that immigrants' acculturation to the host culture is interactively determined by their need for cognitive closure (A. W. Kruglanski &amp; D. M. Webster, 1996) and the reference group they forge on their arrival. If such reference group is fashioned by close social relations with coethnics, the higher the immigrants' need for closure, the weaker their tendency to assimilate to the new culture and the stronger their tendency to adhere to the culture of origin. By contrast, if the reference entry group is fashioned by close relations with members of the host country, the higher their need for closure, the stronger their tendency to adapt to the new culture and the weaker their tendency to maintain the culture of origin. These findings obtained consistently across 3 immigrant samples in Italy, 1 Croatian and 2 Polish, and across multiple different measures of acculturation. (PsycINFO Database Record (c) 2016 APA, all rights reserved)</t>
  </si>
  <si>
    <t>Migration and career success: Testing a time-sequenced model</t>
  </si>
  <si>
    <t>1362-0436</t>
  </si>
  <si>
    <t>Purpose: The paper seeks to determine whether different aspects of migrant pre-migration characteristics (human capital and motivation to migrate) and post-migration behavior (social integration and career self-management) predict migrantsâ€™ post-migration career success. Design/methodology/approach: The research employed a survey questionnaire applied to a sample of 210 migrants who had migrated from Sri Lanka to New Zealand. Twenty-three independent and three dependent (career successâ€”objective and subjective) variables were measured. Sequential multiple regression analysis was applied, mirroring the time-sequenced theory of career development. Findings: Overall, migrantsâ€™ occupational status had declined markedly following migration. Variables representing human capital, social integration and career self-management perspectives all contributed substantially to explaining variances in career success, especially objective career success, but motivation to migrate did not. Human capital variables were especially influential in determining pre-migration success, acculturation in the host country and education in the host country in post-migration success. Effects of career self-management behaviors on success were relatively small. Research limitations/implications: A limitation is the cross-sectional design, and possible non-generalisability beyond a single migrant group and host country. Practical implications: The paper discusses implications for migrants, policy makers and future research. Originality/value: Migration, and interest in research on migrantsâ€™ careers, is growing. This paper applies a wide range of predictor variables and a logical causal model to predicting migrant career success, indicates significant effects, and points to positive actions that may be taken by government, organizations and migrants. (PsycINFO Database Record (c) 2017 APA, all rights reserved)</t>
  </si>
  <si>
    <t>Chen, Sylvia Xiaohua; Benet-MartÃ­nez, VerÃ³nica; Bond, Michael Harris</t>
  </si>
  <si>
    <t>Bicultural identity, bilingualism, and psychological adjustment in multicultural societies: Immigration-based and globalization-based acculturation</t>
  </si>
  <si>
    <t>0022-3506</t>
  </si>
  <si>
    <t>10.1111/j.1467-6494.2008.00505.x</t>
  </si>
  <si>
    <t>http://search.ebscohost.com.proxy-ub.rug.nl/login.aspx?direct=true&amp;db=psyh&amp;AN=2008-09745-005&amp;site=ehost-live&amp;scope=site</t>
  </si>
  <si>
    <t>The present investigation examined the impact of bicultural identity, bilingualism, and social context on the psychological adjustment of multicultural individuals. Our studies targeted three distinct types of biculturals: Mainland Chinese immigrants in Hong Kong, Filipino domestic workers (i.e., sojourners) in Hong Kong, and Hong Kong and Mainland Chinese college students. Individual differences in Bicultural Identity Integration (BII; Benet-MartÃ­nez, Leu, Lee, &amp; Morris, 2002) positively predicted psychological adjustment for all the samples except sojourners even after controlling for the personality traits of neuroticism and self-efficacy. Cultural identification and language abilities also predicted adjustment, although these associations varied across the samples in meaningful ways. We concluded that, in the process of managing multiple cultural environments and group loyalties, bilingual competence, and perceiving one's two cultural identities as integrated are important antecedents of beneficial psychological outcomes. (PsycINFO Database Record (c) 2016 APA, all rights reserved)</t>
  </si>
  <si>
    <t>Cultural Change and Chinese Immigrants' Distress and Help-Seeking in Hong Kong</t>
  </si>
  <si>
    <t>Correlation of omega-3 fatty acids intakes with acculturation and socioeconomic status in Midwestern Latinas</t>
  </si>
  <si>
    <t>Background Low socioeconomic status (SES) and acculturation of Latino immigrants in the U.S. are linked to a decrease in diet quality. Methods Interviews were conducted with 162 first-generation Latinas to examine the association of SES and acculturation with intake of omega-3 (nâˆ’3) fatty acids. Each participant provided dietary intake by use of a validated nâˆ’3 food frequency questionnaire administered twice, 4 weeks apart, three 24-h recalls, sociodemographic information and completed the 5-item Short Acculturation Scale. Results Mean intakes of Total nâˆ’3, Î±-linolenic acid (ALA), eicosapentaenoic acid (EPA) and docosahexaenoic acid (DHA) (g/d) were 1.2 Â± 0.7, 1.1 Â± 0.6, and 0.1 Â± 0.1, respectively. After adjusting for energy intake, education was significantly correlated with EPA + DHA intakes, and acculturation was significantly correlated with Total nâˆ’3, ALA and EPA + DHA intakes. Foods sources of EPA + DHA eaten by at least 50% of participants were chicken, shrimp, tuna and eggs. Discussion Given the beneficial cardiovascular effects of nâˆ’3 fatty acids, it is important to understand sociocultural factors affecting adequate intake towards an improvement in diet quality in minorities. (PsycINFO Database Record (c) 2016 APA, all rights reserved)</t>
  </si>
  <si>
    <t>Navas, Marisol; Rojas, Antonio J.; GarcÃ­a, MarÃ­a; Pumares, Pablo</t>
  </si>
  <si>
    <t>Acculturation strategies and attitudes according to the Relative Acculturation Extended Model (RAEM): The perspectives of natives versus immigrants</t>
  </si>
  <si>
    <t>The purpose of this work was to study acculturation of the African immigrant and host populations in an area in the southeast of Spain (AlmerÃ­a), characterized by a high rate of immigration. A new acculturation model, the Relative Acculturation Extended Model, RAEM [Navas, M., Pumares, P., SÃ¡nchez, J., GarcÃ­a, M. C., Rojas, A. J., Cuadrado, I., &amp; Asensio, M. (2004). Estrategias y actitudes de aculturaciÃ³n: la perspectiva de los inmigrantes y de los autÃ³ctonos en AlmerÃ­a. Sevilla: DirecciÃ³n General de CoordinaciÃ³n de PolÃ­ticas Migratorias. ConsejerÃ­a de GobernaciÃ³n. Junta de AndalucÃ­a; Navas, M., GarcÃ­a, M. C., SÃ¡nchez, J., Rojas, A. J., Pumares, P., &amp; FernÃ¡ndez, J. S. (2005). Relative Acculturation Extended Model: New contributions with regard to the study of acculturation. International Journal of Intercultural Relations, 29, 21-37], is used for this. This model differentiates between the real and ideal planes of acculturation, that is, between the strategies that are actually put into practice and attitudes that are preferred. Moreover, the model distinguishes seven spheres, or domains, of acculturation (political, work, economic, social, family, religious and ways of thinking), in which persons (immigrants and natives) adopt and prefer different acculturation options (strategies and attitudes). About 1523 persons (397 Maghrebis, 434 Sub-Saharans, 398 Spaniards who evaluated the Maghreb exogroup and 385 Spaniards who evaluated the Sub-Saharan exogroup), answered a questionnaire made expressly for the study. According to our predictions, immigrants and natives coincide in their choices for acculturation ('assimilation') in the peripheral domains of the RAEM (work, economic); they also coincide in their acculturation attitudes in the social domain ('integration'); however, they differ enormously in the options preferred for the central spheres, or hard core, of the culture (e.g., family, religious, ways of thinking): While immigrants prefer 'separation', natives continue to prefer 'assimilation'. Advantages of the RAEM division into domains of acculturation are discussed with regard to previous models, as well as the implications for predicting inter-group conflict. (PsycINFO Database Record (c) 2016 APA, all rights reserved)</t>
  </si>
  <si>
    <t>Luque, Marisol Navas; FernÃ¡ndez, MarÃ­a del Carmen GarcÃ­a; Tejada, Antonio JosÃ© Rojas</t>
  </si>
  <si>
    <t>Acculturation Strategies and Attitudes of African Immigrants in the South of Spain: Between Reality and Hope</t>
  </si>
  <si>
    <t>1069-3971</t>
  </si>
  <si>
    <t>Belonging and adapting: Mental health of Bosnian refugees living in the United States</t>
  </si>
  <si>
    <t>0161-2840</t>
  </si>
  <si>
    <t>Buddington, Steve A.</t>
  </si>
  <si>
    <t>Acculturation, psychological adjustment (stress, depression, self esteem) and the academic achievement of Jamaican immigrant college students</t>
  </si>
  <si>
    <t>0020-8728</t>
  </si>
  <si>
    <t>10.1177/00208728020450040401</t>
  </si>
  <si>
    <t>http://search.ebscohost.com.proxy-ub.rug.nl/login.aspx?direct=true&amp;db=psyh&amp;AN=2003-01026-003&amp;site=ehost-live&amp;scope=site</t>
  </si>
  <si>
    <t>Examined acculturation, psychological adjustment, and the academic achievement of Jamaican immigrant college students. 150 Jamaican immigrant students (aged 18-48 yrs) completed questionnaires regarding sociodemographic information and background factors, acculturation, self-esteem, stress, and depression. Results show that with increased acculturation Ss experienced greater stress and depression, which caused a decline in both their grade point averages and in their self-esteem. Those Ss who returned home frequently, communicated with relatives and family, and were late arrivals had high grade point averages and were less acculturated. The early-arrival immigrants (aged 30-35 yrs) were more acculturated, married, and naturalized citizens. They returned home less frequently, lost family ties, and consequently their strong motivation towards achievement. Ss who were married and whose spouses were non-Jamaicans tended to experience more stress because of the dissimilarities in cultures. This was associated with an increase in their depressive states and a reduction in their self-esteem. Ss with Jamaican spouses tended to be less acculturated and exhibited high levels of self-esteem, with low levels of depression and stress with high grade point averages. (PsycINFO Database Record (c) 2016 APA, all rights reserved)</t>
  </si>
  <si>
    <t>Acculturation attitudes, need for cognitive closure, and adaptation of immigrants</t>
  </si>
  <si>
    <t>0022-4545</t>
  </si>
  <si>
    <t>10.1080/00224540209603894</t>
  </si>
  <si>
    <t>http://search.ebscohost.com.proxy-ub.rug.nl/login.aspx?direct=true&amp;db=psyh&amp;AN=2002-13162-003&amp;site=ehost-live&amp;scope=site</t>
  </si>
  <si>
    <t>The author validated J. W. Berry's model of acculturation and examined the relation between acculturation attitudes and sociocultural and psychological adaptation among Croatian (mean age 27.33 yrs) and Polish (mean age 28.8 yrs) immigrants to Italy, 2 groups whose cultures are not very different from the Italian culture. Moreover, the author investigated the relation between the need for cognitive closure (NCC) and psychological and sociocultural adaptation. The participants completed a questionnaire including measures of sociocultural adaptation, psychological adaptation, social relationships, acculturation attitudes, and NCC. The results of a multivariate analysis of variance revealed main effects of acculturation strategies for both forms of adaptation and a main effect of NCC for psychological adaptation. The Croatian and Polish immigrants differed in the level of sociocultural adaptation but not in the level of psychological adaptation. (PsycINFO Database Record (c) 2016 APA, all rights reserved)</t>
  </si>
  <si>
    <t>Chung, Rita Chi-Ying; Bemak, Fred; Wong, Sandra</t>
  </si>
  <si>
    <t>Vietnamese refugees' levels of distress, social support and acculturation: Implications for mental health counseling</t>
  </si>
  <si>
    <t>1040-2861</t>
  </si>
  <si>
    <t>http://search.ebscohost.com.proxy-ub.rug.nl/login.aspx?direct=true&amp;db=psyh&amp;AN=2000-03496-005&amp;site=ehost-live&amp;scope=site</t>
  </si>
  <si>
    <t>Examined psychosocial adjustment issues for 2 different groups of Vietnamese refugees who migrated to the United States as children. 358 Vietnamese college students (mean age 21 yrs) from 12 colleges in the Los Angeles area comprised 105 '1st-wave' Ss arriving during the period 1971â€“75 and 253 '2nd-wave' Ss arriving during the period 1980â€“85. 85% of 1st-wave Ss were under 6 yrs of age upon arrival in the US, while only 6% of 2nd-wave Ss were under 6 at the time of arrival. Administered tests included the Hopkins Symptom Checklistâ€”21 (D. E. Green et al, 1983), a revised version of the Suinn-Lew Self Identity and Acculturation Scale (R. M. Suinn et al, 1987), and the Social Support Questionnaire (I. G. Sarason et al, 1983). Results show that 2nd-wave Ss experienced more psychological distress than did 1st-wave Ss, with 1st-wave Ss experiencing greater acculturation and satisfaction with social support. Females reported greater acculturation than males among 2nd wave Ss only. Findings suggest that mental health professionals need to be aware of intergroup and gender differences in refugee psychosocial adjustment, and understand the importance of pre- and postmmigration issues. (PsycINFO Database Record (c) 2017 APA, all rights reserved)</t>
  </si>
  <si>
    <t>Personal and Group Acculturation Attitudes and Adjustment: Russian and Ethiopian Immigrants in Israel</t>
  </si>
  <si>
    <t>0021-9029</t>
  </si>
  <si>
    <t>Mokounkolo, RenÃ©; Taillandier-Schmitt, Anne</t>
  </si>
  <si>
    <t>Sociodemographic and psychological variables related to sociocultural, acculturative orientation of North African immigrants in France</t>
  </si>
  <si>
    <t>0081-2463</t>
  </si>
  <si>
    <t>Cheung, Peter</t>
  </si>
  <si>
    <t>Acculturation and psychiatric morbidity among Cambodian refugees in New Zealand</t>
  </si>
  <si>
    <t>10.1177/002076409504100204</t>
  </si>
  <si>
    <t>http://search.ebscohost.com.proxy-ub.rug.nl/login.aspx?direct=true&amp;db=psyh&amp;AN=1996-01442-001&amp;site=ehost-live&amp;scope=site</t>
  </si>
  <si>
    <t>Examined the relationship between acculturation and minor psychiatric morbidity among 223 Cambodians (aged 18â€“86 yrs) living in New Zealand. Ss completed the 28-item version of the General Health Questionnaire and were queried about (1) what traditional beliefs and practices they still held after migration to New Zealand, (2) what aspects of their own culture they would like to retain, and (3) what aspects of the New Zealand culture they would like to acquire. Most Ss indicated a preference for an integrated mode of acculturation. Ss who were older, widowed, less educated, had shorter duration of stay in New Zealand, or were of lower SES were less acculturated. The least acculturated were found to have the highest rate of psychiatric morbidity. Associations between psychiatric morbidity and acculturation held true for marital status, duration of stay in New Zealand, educational level, and SES. (PsycINFO Database Record (c) 2016 APA, all rights reserved)</t>
  </si>
  <si>
    <t>The multicultural workplace: Interactive acculturation and intergroup relations</t>
  </si>
  <si>
    <t>0268-3946</t>
  </si>
  <si>
    <t>Nesdale, Drew; Mak, Anita S.</t>
  </si>
  <si>
    <t>Immigrant acculturation attitudes and host country identification</t>
  </si>
  <si>
    <t>1052-9284</t>
  </si>
  <si>
    <t>10.1002/1099-1298(200011/12)10:6&lt;483::AID-CASP580&gt;3.0.CO;2-0</t>
  </si>
  <si>
    <t>http://search.ebscohost.com.proxy-ub.rug.nl/login.aspx?direct=true&amp;db=psyh&amp;AN=2001-16118-005&amp;site=ehost-live&amp;scope=site</t>
  </si>
  <si>
    <t>Assessed the efficacy of a model predicting the host country identification of members of immigrant groups in Australia. The model proposes that host country identification is primarily determined by positivity of the immigrants' acculturation attitude towards living according to the standards and values of the host country. The study included 602 adult immigrants from a number of countries (Vietnam, People's Republic of China, Hong Kong, Taiwan, Sri Lanka, and New Zealand), which varied in their cultural similarity to the host country, Australia. Results from a multiple regression analysis of participants' questionnaire responses revealed good support for the model. Results indicate that acculturation attitude towards Australia were the strongest predictor of host country identification, followed by acceptance by Australians, while extent of ethnic involvement was a significant negative predictor. The results also reveal ethnic identification as a significant positive predictor of host country identification. The importance of the relationship between acculturation attitudes and identification is discussed, together with immigrants' identification processes towards their ethnic group and the host country. (PsycINFO Database Record (c) 2016 APA, all rights reserved)</t>
  </si>
  <si>
    <t>The relationship between acculturation and job satisfaction among Chinese immigrants in the New York city restaurant business</t>
  </si>
  <si>
    <t>0278-4319</t>
  </si>
  <si>
    <t>Zlobina, Anna; Basabe, Nekane; Paez, Dario; Furnham, Adrian</t>
  </si>
  <si>
    <t>Sociocultural adjustment of immigrants: Universal and group-specific predictors</t>
  </si>
  <si>
    <t>10.1016/j.ijintrel.2005.07.005</t>
  </si>
  <si>
    <t>http://search.ebscohost.com.proxy-ub.rug.nl/login.aspx?direct=true&amp;db=psyh&amp;AN=2006-13051-004&amp;site=ehost-live&amp;scope=site</t>
  </si>
  <si>
    <t>The study examined the sociocultural dimension of acculturation of 518 first-generation immigrants in the Basque Country, Spain. Members of five ethnocultural groups (88 Brazilians, 98 Colombians, 139 Ecuadorians, 105 North and 85 Sub-Saharan Africans) answered a self-report questionnaire. The study aimed first to replicate the findings of previous investigations regarding the predictors of sociocultural adaptation at the whole sample level. The results showed that length of residence in the new culture, immigration status (having resident permits or being 'illegal'), and perceived discrimination were the most powerful predictors of sociocultural adjustment of immigrants. Education, relationships with host nationals and perceived cultural distance were other factors significantly associated with social difficulty in the receiving society. The second purpose of the study was to test the universality of these predictors taking into account the possibility of culture-context interaction. Length of residence, immigration status and perceived discrimination were found to be independent or semi-independent of the context and culture. On the other hand, other variables contributed the explanation of outcomes of adjustment of the ethnocultural groups in their specific context. As predicted, the groups varied in their degree of social difficulty: the Colombians and the immigrants from Sub-Saharan Africa had the highest degree of self-reported difficulty, the Ecuadorians had a medium degree, and the Brazilians and the North Africans had the lowest. (PsycINFO Database Record (c) 2016 APA, all rights reserved)</t>
  </si>
  <si>
    <t>Acculturation and its relationship to somatic tendencies among Bangladeshi and Asian Indian immigrants</t>
  </si>
  <si>
    <t>Arends-TÃ³th, Judit; Van de Vijver, Fons J. R.</t>
  </si>
  <si>
    <t>Acculturation attitudes: A comparison of measurement methods</t>
  </si>
  <si>
    <t>Three measurement methods (1, 2, or 4 statements) to assess acculturation attitudes were compared in 2 studies involving Turkish immigrants in The Netherlands. Each measurement method revealed support for differentiation between acculturation in the public and the private domains. The Turkish culture was more valued than the Dutch culture in the private domain, while both cultures were about equally favored in the public domain. A direct comparison of the 3 measurement methods found evidence for a general method factor on which all 3 measurement methods loaded, and an acculturation attitude factor with positive loadings for 2 indicators (private and public domains). The 2-statement measurement method addressing public and private life domains was found to provide a short, though comprehensive instrument. (PsycINFO Database Record (c) 2016 APA, all rights reserved)</t>
  </si>
  <si>
    <t>McKelvey, Robert S.; Webb, John A.</t>
  </si>
  <si>
    <t>A comparative study of Vietnamese Amerasians, their non-Amerasian siblings, and unrelated, like-aged Vietnamese immigrants</t>
  </si>
  <si>
    <t>The American Journal of Psychiatry</t>
  </si>
  <si>
    <t>0002-953X</t>
  </si>
  <si>
    <t>10.1176/ajp.153.4.561</t>
  </si>
  <si>
    <t>http://search.ebscohost.com.proxy-ub.rug.nl/login.aspx?direct=true&amp;db=psyh&amp;AN=1996-00428-017&amp;site=ehost-live&amp;scope=site</t>
  </si>
  <si>
    <t>Compared the personal histories, levels of psychological distress, and adaptation to American life of 140 Vietnamese Amerasians, 71 of their non-Amerasian siblings, and a group of 118 unrelated, like-aged Vietnamese immigrants. All Ss were aged 19â€“33 yrs. Ss completed 2 self-administered symptom checklists and provided demographic and personal history data. Results show that Vietnamese Amerasians differed significantly from the other 2 groups on measures of alcohol use, number of hospitalizations, years of education, childhood trauma, perceived effects of trauma, and score on the Vietnamese Depression Scale. The Amerasians did not, however, differ on measures of social support or in their success at adapting to life in the US. Vietnamese Amerasians appeared to be adapting well to life in the US as well as the other 2 groups. (PsycINFO Database Record (c) 2016 APA, all rights reserved)</t>
  </si>
  <si>
    <t>Oral health of foreign domestic workers: Exploring the social determinants</t>
  </si>
  <si>
    <t>Lanca, Margaret; Alksnis, Christine; Roese, Neil J.; Gardner, Robert C.</t>
  </si>
  <si>
    <t>Effects of language choice on acculturation: A study of Portuguese immigrants in a multicultural setting</t>
  </si>
  <si>
    <t>Journal of Language and Social Psychology</t>
  </si>
  <si>
    <t>0261-927X</t>
  </si>
  <si>
    <t>10.1177/0261927X94133005</t>
  </si>
  <si>
    <t>http://search.ebscohost.com.proxy-ub.rug.nl/login.aspx?direct=true&amp;db=psyh&amp;AN=1995-09197-001&amp;site=ehost-live&amp;scope=site</t>
  </si>
  <si>
    <t>Investigated whether language preference is associated with different acculturation attitudes in a study of 103 Portuguese immigrants or 1st generation Canadians of Portuguese descent. The Ss completed a questionnaire in their preferred language (English, French, or Portuguese) assessing their modes of acculturation, self-reported ethnic identity, self-esteem, individualistic and collectivistic tendencies, and self-reported competence in speaking and reading English, French, and Portuguese. Results indicated that language preference was associated with ethnic identity. Moreover, there was a strong identification with the North American culture by the English respondents and a weaker association with the French-Canadian culture by French respondents. (PsycINFO Database Record (c) 2016 APA, all rights reserved)</t>
  </si>
  <si>
    <t>Living in a different world: Acculturative stress among Korean American elders</t>
  </si>
  <si>
    <t>1079-5014</t>
  </si>
  <si>
    <t>Using a sample of Korean American elders, this study examined internal mechanisms by which the level of acculturation influences mental health outcomes. We hypothesized that the impact of five domains of acculturation on mental distress (depressive symptoms and anxiety) would be mediated by individuals' subjectively appraised acculturative stress. The latter was indexed by measures of task-oriented and emotion-oriented stress. The results from structural equation modeling with 472 Korean American elders in Florida (M age=69.9, SD=7.04) provided support for the mediation model. Findings demonstrate that acculturation exerts an influence on mental health and that acculturative stress functions as a mediator in the linkage between the level of acculturation and mental distress. Findings suggest avenues for facilitating immigrant elders' positive adaptation and promoting their mental well-being (PsycINFO Database Record (c) 2019 APA, all rights reserved)</t>
  </si>
  <si>
    <t>Knipscheer, Jeroen W.; de Jong, Eleonore E. M.; Kleber, Rolf J.; Lamptey, Ekow</t>
  </si>
  <si>
    <t>Ghanian migrants in the Netherlands: General health, acculturative stress and utilization of mental health care</t>
  </si>
  <si>
    <t>10.1002/1520-6629(200007)28:4&lt;459::AID-JCOP7&gt;3.0.CO;2-Z</t>
  </si>
  <si>
    <t>http://search.ebscohost.com.proxy-ub.rug.nl/login.aspx?direct=true&amp;db=psyh&amp;AN=2000-00033-007&amp;site=ehost-live&amp;scope=site</t>
  </si>
  <si>
    <t>Ghanaians are a relatively unknown migrant group in the Netherlands. Due to a plane crash in a densely populated suburb of Amsterdam, the Ghanaian population was assumed to be a group at risk: many Ghanaians were either directly or indirectly victims of this disaster. Moreover, Ghanaians were assumed to be unfamiliar with the Dutch society and the health care system. A study was conducted using self-report questionnaires to investigate mental health and help-seeking orientation. 81 Ghanians (13â€“48 yrs old) completed self-report questionnaires. Findings show that migration factors, acculturative stress, and legal status have an impact on health status. However, Ghanaians do not report more health problems than the Dutch norm group. The help-seeking orientation of the Ghanaians differs less from the Dutch than was supposed: the Ghanaian Ss consult clergy and traditional healers for their problems as well as the regional ambulatory mental health care center. Satisfaction with the services provided was seen to be quite high. More practical help with regard to financial problems and housing facilities is wanted. Implications for improving the mental health care system for migrants and ethnic minorities are discussed. (PsycINFO Database Record (c) 2016 APA, all rights reserved)</t>
  </si>
  <si>
    <t>Perceived cultural distance and acculturation among exchange students in Russia</t>
  </si>
  <si>
    <t>Lee, Wei-Na; Tse, David K.</t>
  </si>
  <si>
    <t>Changing media consumption in a new home: Acculturation patterns among Hong Kong immigrants to Canada</t>
  </si>
  <si>
    <t>Journal of Advertising</t>
  </si>
  <si>
    <t>0091-3367</t>
  </si>
  <si>
    <t>10.1080/00913367.1994.10673431</t>
  </si>
  <si>
    <t>http://search.ebscohost.com.proxy-ub.rug.nl/login.aspx?direct=true&amp;db=psyh&amp;AN=1994-44582-001&amp;site=ehost-live&amp;scope=site</t>
  </si>
  <si>
    <t>Investigated how immigrant consumers change their media consumption when they move across cultural boundaries and whether media exposure relates to consumers' acculturation of the new social norms. A total of 938 respondents from 4 sample groups (Hong Kong residents, long-time and new Hong Kong immigrants to Canada, and English-speaking Caucasian Canadians) responded to a predesigned questionnaire. While the immigrant groups did not increase their total media consumption, their consumption across different media types followed both assimilation and ethnic affirmation models. This acculturation process seemed to be affected by immigrants' original media consumption behavior and language ability. Media exposure related significantly to immigrants' acculturation of the new social norms after influences due to personal characteristics were removed. (PsycINFO Database Record (c) 2016 APA, all rights reserved)</t>
  </si>
  <si>
    <t>Development of a new scale for measuring acculturation: The East Asian Acculturation Measure (EAAM)</t>
  </si>
  <si>
    <t>10.1023/A:1012227611547</t>
  </si>
  <si>
    <t>http://search.ebscohost.com.proxy-ub.rug.nl/login.aspx?direct=true&amp;db=psyh&amp;AN=2002-12230-001&amp;site=ehost-live&amp;scope=site</t>
  </si>
  <si>
    <t>Given the paucity of appropriate measures to assess the acculturation patterns of East Asian immigrants in the US, a new acculturation instrument was developed and evaluated. 150 nonclinical East Asian immigrants were administered the East Asian Acculturation Measure (EAAM) and provided demographic information concerning length of stay in the US and gender. Satisfactory reliability is reported for the 4 acculturation scales: assimilation, separation, integration, and marginalization. Length of stay was not associated with separation but was significantly positively associated with assimilation and integration and significantly negatively associated with marginalization. Gender was not associated with any of the acculturation scales. The findings suggest that the EAAM may be a useful tool for researchers and clinicians to investigate the acculturation patterns of East Asian immigrants. (PsycINFO Database Record (c) 2016 APA, all rights reserved)</t>
  </si>
  <si>
    <t>Immigration as a theologizing experience: Spiritual well-being as a moderating factor in migratory grief and acculturation</t>
  </si>
  <si>
    <t>Acculturation and relational family values in Korean immigrants</t>
  </si>
  <si>
    <t>Pre-migration and post-migration factors associated with mental health in humanitarian migrants in Australia and the moderation effect of post-migration stressors: Findings from the first wave data of the BNLA cohort study</t>
  </si>
  <si>
    <t>2215-0366</t>
  </si>
  <si>
    <t>Background: The process of becoming a humanitarian migrant is potentially damaging to mental health. We examined the association between pre-migration and post-migration potentially traumatic events and stressors and mental health, and assessed the moderating effect of post-migration stressors in humanitarian migrants in Australia. Methods: In this study, we used the first wave of data between 2013 and 2014 from the Building a New Life in Australia survey. The survey included 2399 migrants who had arrived in Australia holding a permanent humanitarian visa 3â€“6 months preceding the survey, with 77% and 23% of participants being granted visas through offshore and onshore humanitarian programmes, respectively. Post-traumatic stress disorder (PTSD) was measured with the Post-traumatic Stress Disorder 8 items (PTSD-8) and severe mental illness was measured with the Kessler Screening Scale for Psychological Distress (K6). Pre-migration potentially traumatic events and post-migration stressors related to asylum process and resettlement were measured with a self-reported questionnaire. Findings: Of the 2399 participants, 762 (31%; 95% CI 29Â·4â€“33Â·2) had PTSD and 394 (16%; 95% CI 14Â·2â€“17Â·2) had severe mental illness. The mean number of pre-migration potentially traumatic events was 2Â·1 (SD 1Â·4). 64%, 59%, 49%, and 18% of participants reported poor social integration, economic problems, worrying about family or friends overseas, and loneliness as post-migration stressors. Pre-migration potentially traumatic events and post-migration stressors were positively associated with PTSD and severe mental illness. Factors significantly modifying the association between pre-migration potentially traumatic events and mental health after controlling for confounding factors were resettlement related stressors, including loneliness (odds ratio 1Â·17, 95% CI 1Â·05â€“1Â·28 for PTSD and 1Â·28, 1Â·16â€“1Â·41 for severe mental illness) and the number of social integration stressors (1Â·10, 1Â·05â€“1Â·16 for PTSD). Interpretation: Our data suggest that post-migration resettlement-related stressors were the most important correlates of mental health in humanitarian migrants, accounting for both direct and indirect associations. Targeting resettlement-related stressors through augmenting psychosocial care programmes and social integration would be a key approach to improve humanitarian migrants' mental health. (PsycINFO Database Record (c) 2017 APA, all rights reserved)</t>
  </si>
  <si>
    <t>Van Selm, Karin; Sam, David Lackland; Van Oudenhoven, Jan Pieter</t>
  </si>
  <si>
    <t>Life satisfaction and competence of Bosnian refugees in Norway</t>
  </si>
  <si>
    <t>0036-5564</t>
  </si>
  <si>
    <t>10.1111/1467-9450.00020</t>
  </si>
  <si>
    <t>http://search.ebscohost.com.proxy-ub.rug.nl/login.aspx?direct=true&amp;db=psyh&amp;AN=1997-04943-008&amp;site=ehost-live&amp;scope=site</t>
  </si>
  <si>
    <t>Examined the relative influence of age, gender, locus of control, preferred acculturation strategy, perceived majority member's attitude, and social support on life satisfaction and competence of Bosnian refugees. 106 Bosnians (average age, 34 yrs) living temporarily in Norway completed a questionnaire that included 5 items from Rotter's Internalâ€“External Locus of Control Scale and the Satisfaction With Life Scale. Results show that Ss with a higher locus of control had a higher life satisfaction and higher feelings of competence. The acculturation option assimilation was related to the highest life satisfaction, while the integration option was related to the highest feelings of competence. The more positive the reactions Ss received from Norwegians, the higher their life satisfaction and the higher their feeling of competence. Older refugees reported the highest feelings of competence. (PsycINFO Database Record (c) 2016 APA, all rights reserved)</t>
  </si>
  <si>
    <t>Pham, Thuy B.; Harris, Richard J.</t>
  </si>
  <si>
    <t>Acculturation strategies among Vietnamese-Americans</t>
  </si>
  <si>
    <t>10.1016/S0147-1767(01)00004-9</t>
  </si>
  <si>
    <t>http://search.ebscohost.com.proxy-ub.rug.nl/login.aspx?direct=true&amp;db=psyh&amp;AN=2001-06897-002&amp;site=ehost-live&amp;scope=site</t>
  </si>
  <si>
    <t>Examined the effects of 4 variables on the adoption of acculturation strategies, and the effects of these strategies on the mediation of self-esteem among Vietnamese-Americans. 138 Vietnamese-Americans (aged 10â€“78 yrs) recruited from community venues completed the Rosenberg Self-Esteem Inventory (M. Rosenberg, 1979), the Acculturation Scale (J. W. Berry et al, 1989), and questionnaires concerning general demographic characteristics. Data were evaluated according to the 4 possible acculturation strategy predictors of education, years of residence in the US, level of involvement with US culture, and level of involvement with Vietnamese culture. Results show that the strategies of integration, marginalization, and separation acted as mediators between the 4 acculturation strategies and self-esteem. Findings suggest that determining the specific type of strategy used by the elderly to adapt to their new environments is the initial step to reducing conflict within Vietnamese families. (PsycINFO Database Record (c) 2016 APA, all rights reserved)</t>
  </si>
  <si>
    <t>Al-Sabiae, A.; DiNicola, V. F.</t>
  </si>
  <si>
    <t>Psycho-social adaptation of Saudi students and spouses in Canada</t>
  </si>
  <si>
    <t>Arab Journal of Psychiatry</t>
  </si>
  <si>
    <t>1016-8923</t>
  </si>
  <si>
    <t>http://search.ebscohost.com.proxy-ub.rug.nl/login.aspx?direct=true&amp;db=psyh&amp;AN=2001-16304-007&amp;site=ehost-live&amp;scope=site</t>
  </si>
  <si>
    <t>Cultural change is a stressful process that is associated with higher risk of both mental and physical illness. These associations vary among people, with refugees having a higher risk than immigrants, who in turn have a higher risk than sojourners. In this study, the psychosocial adaptation of Saudi students and their spouses in Canada was investigated. 368 potential Ss received a mailed-out questionnaire with questions on demographic data and mode of adaptation and the (SCL-90-R) to measure psychological disturbances. Response rate was 55.7%. The results show that more male Ss were involved in formal training and were able to speak the English language, compared to female Ss. Approximately one-third had some relationship to Canadians, while almost all had maintained close contact with other Saudis. There was a reduction in religious observance but not personal habits and behaviours. One-third fulfilled the criteria for caseness on the (SCL-90-R). Differences between males and females are discussed along with other findings in cultural context. (PsycINFO Database Record (c) 2016 APA, all rights reserved)</t>
  </si>
  <si>
    <t>Curran, Michael J.; Bunting, Brendan; MacLachlan, Malcolm</t>
  </si>
  <si>
    <t>The health and acculturation of the Irish Diaspora in Britain</t>
  </si>
  <si>
    <t>The Irish Journal of Psychology</t>
  </si>
  <si>
    <t>0303-3910</t>
  </si>
  <si>
    <t>http://search.ebscohost.com.proxy-ub.rug.nl/login.aspx?direct=true&amp;db=psyh&amp;AN=2004-17197-006&amp;site=ehost-live&amp;scope=site</t>
  </si>
  <si>
    <t>The health of the Irish diaspora in Britain is significantly worse than that of the indigenous population, or other migrant groups. Despite this there has been little research on the acculturation experience of the Irish in Britain and how this may relate to their health status. The present study investigated the acculturative experience of Irish migrants in Coventry - Britain's 'most Irish' city. A convenience sample of 73 Irish adults completed the Trinity Acculturation Scale (TAS), the General Health Questionnaire (GHQ-12), demographic and 'open' questions. We hypothesised that Berry's Acculturation 'framework' would be salient in accounting for the variance in GHQ scores. This hypothesis was supported through confirmatory factor analysis of the TAS and subsequent explorations of subscale correlations with the GHQ. Of particular interest was the proportion of the sample who felt 'marginalised' - removed from both British and Irish society - due to their sexual orientation. (PsycINFO Database Record (c) 2016 APA, all rights reserved)</t>
  </si>
  <si>
    <t>Ben-Shalom, Uzi; Horenczyk, Gabriel</t>
  </si>
  <si>
    <t>Acculturation orientations: A facet theory perspective on the bidimensional model</t>
  </si>
  <si>
    <t>10.1177/0022022102250249</t>
  </si>
  <si>
    <t>http://search.ebscohost.com.proxy-ub.rug.nl/login.aspx?direct=true&amp;db=psyh&amp;AN=2003-02007-005&amp;site=ehost-live&amp;scope=site</t>
  </si>
  <si>
    <t>Applied facet theory to validate J. W. Berry's bidimensional conceptualization and measurement of acculturation attitudes and its extension by G. Horenczyk to include acculturation expectations. Three components of facet theory (mapping sentence, confirmatory SSA [smallest space analysis], and SSA with external variables) are proposed as valuable tools for the purpose of cross-cultural validation and theory building. In total, 526 Israeli immigrants from the former Soviet Union completed questionnaires assessing own and 'perceived expected' acculturation attitudes, as well as a questionnaire measuring the strength of their cultural identities. The bidimensional 'radex' configuration of acculturation attitudes confirms expected distinctions (a) between integration, separation, assimilation, and marginalization types of acculturation attitudes and (b) between similarly structured own immigrants' attitudes and the expectations attributed to hosts. Moreover, the distinct placement of group identifications and sociodemographic characteristics as external variables in the bidimensional space corroborates the concurrent and discriminant validity of the acculturation model and measurement. A table of questionnaire items is appended. (PsycINFO Database Record (c) 2016 APA, all rights reserved)</t>
  </si>
  <si>
    <t>Socioeconomic, cultural, and personal influences on health outcomes in low income Mexican-origin individuals in Texas</t>
  </si>
  <si>
    <t>0277-9536</t>
  </si>
  <si>
    <t>Acculturation and psychosocial stress show differential relationships to insulin resistance (HOMA) and body fat distribution in two groups of Blacks living in the US Virgin Islands</t>
  </si>
  <si>
    <t>0027-9684</t>
  </si>
  <si>
    <t>Barrette, GeneviÃ¨ve; Bourhis, Richard Y.; Personnaz, Marie; Personnaz, Bernard</t>
  </si>
  <si>
    <t>Acculturation orientations of French and North African undergraduates in Paris</t>
  </si>
  <si>
    <t>10.1016/j.ijintrel.2004.08.003</t>
  </si>
  <si>
    <t>http://search.ebscohost.com.proxy-ub.rug.nl/login.aspx?direct=true&amp;db=psyh&amp;AN=2004-22238-005&amp;site=ehost-live&amp;scope=site</t>
  </si>
  <si>
    <t>The interactive acculturation model (IAM) proposes that acculturation orientations endorsed by host majority and immigrant minority members influence the quality of their intergroup relations. This questionnaire study was conducted with 199 French host majority respondents and 124 North African immigrants who interacted weekly as undergraduates at a large university in a suburb of Paris. Acculturation orientations strongly endorsed by French undergraduates were integrationism and individualism, while segregationism, assimilationism, and exclusionism were weakly endorsed. Acculturation orientations strongly endorsed by North African undergraduates were integrationism, individualism, and separatism, while the least endorsed orientations were assimilationism and marginalization. Confirming basic premises of the IAM model, results showed that French majority and North African undergraduates who endorsed integrationism and individualism were those who perceived the most harmonious relational outcomes with out-group members. French majority undergraduates who endorsed segregationism/exclusionism and North African undergraduates who endorsed separatism were more likely to perceive problematic/conflictual relations with out-group members. (PsycINFO Database Record (c) 2016 APA, all rights reserved)</t>
  </si>
  <si>
    <t>Acculturation strategies, coping process and acculturative stress</t>
  </si>
  <si>
    <t>The influence of Americanization on savings behavior and practices among Saudi Arabian families immigrants in the United States</t>
  </si>
  <si>
    <t>Understanding differences in past year psychiatric disorders for Latinos living in the US</t>
  </si>
  <si>
    <t>Zane, Nolan; Mak, Winnie</t>
  </si>
  <si>
    <t>Major approaches to the measurement of acculturation among ethnic minority populations: A content analysis and an alternative empirical strategy</t>
  </si>
  <si>
    <t>Acculturation: Advances in theory, measurement, and applied research</t>
  </si>
  <si>
    <t>1-55798-920-6</t>
  </si>
  <si>
    <t>http://search.ebscohost.com.proxy-ub.rug.nl/login.aspx?direct=true&amp;db=psyh&amp;AN=2002-18425-005&amp;site=ehost-live&amp;scope=site</t>
  </si>
  <si>
    <t>This analysis examines the various approaches to conceptualizing and operationalizing acculturation, particularly with respect to the study of immigrant ethnic minority populations. First, the various conceptual models that often guide the development of acculturation measures are presented. Second, content analyses are conducted on the most commonly used acculturation measures to determine which specific aspects of acculturation are being operationalized in various studies. Finally, an alternative approach to the study of acculturation is proposed based on assessing single psychological elements such as culturally based values. A case example of research that focuses on 1 such value orientation, loss of face, is presented to demonstrate the potential utility of this approach for studying acculturation among Asian Americans. (PsycINFO Database Record (c) 2016 APA, all rights reserved)</t>
  </si>
  <si>
    <t>Acculturative Distress Among Hispanics: The Role of Acculturation, Coping, and Intercultural Competence</t>
  </si>
  <si>
    <t>0883-8534</t>
  </si>
  <si>
    <t>International students' acculturation: Effects of international, conational, and local ties and need for closure</t>
  </si>
  <si>
    <t>The role of perceived cultural distance in the acculturation of exchange students in Russia</t>
  </si>
  <si>
    <t>Association of depression, psycho-social stress and acculturation with respiratory disease among Puerto Rican adults in Massachusetts</t>
  </si>
  <si>
    <t>Noda, Fumitaka; Noda, Masako; Clark, Campbell</t>
  </si>
  <si>
    <t>Family factors affecting adjustment in Japanese immigrant housewives</t>
  </si>
  <si>
    <t>The Canadian Journal of Psychiatry / La Revue canadienne de psychiatrie</t>
  </si>
  <si>
    <t>0706-7437</t>
  </si>
  <si>
    <t>10.1177/070674379003500808</t>
  </si>
  <si>
    <t>http://search.ebscohost.com.proxy-ub.rug.nl/login.aspx?direct=true&amp;db=psyh&amp;AN=1991-12434-001&amp;site=ehost-live&amp;scope=site</t>
  </si>
  <si>
    <t>Administered a 16-item questionnaire to 130 Japanese wives who emigrated to Canada to determine which family factors influenced successful adjustment to a new culture. Factors studied were style of marriage (i.e., traditional vs Western), level of communication with spouse, and relationship with children. 70 Ss had no major adjustment problems, 30 had transitional problems, 7 had late onset problems, and 23 had chronic problems. Communication with spouse was the only factor that affected degree of adjustment. (French abstract) (PsycINFO Database Record (c) 2016 APA, all rights reserved)</t>
  </si>
  <si>
    <t>GonzÃ¡lez-Castro, JosÃ© Luis; Ubillos, Silvia</t>
  </si>
  <si>
    <t>Determinants of psychological distress among migrants from Ecuador and Romania in a Spanish City</t>
  </si>
  <si>
    <t>Background: Migration may have consequences on the mental health of those who enter a new cultural environment. In Spain, migration has increased tenfold in 20 years. It is important to study how these migrants are interacting within this new context and which variables hinder their personal and social development. Aims: To analyze acculturation differences in Spain between first-generation immigrants from two different countries; to analyze the self-reported mental health of these participants; and to evaluate which variables best predict mental health disorders. Method: One hundred and thirty five (135) respondents from Romania and Ecuador responded to a questionnaire analyzing mental health by means of the GHQ-12, coupled with other personal, social and psychosocial acculturation variables. Results: Both cultural groups differed significantly regarding the impact of personal and social variables on their well-being. Nevertheless, mental health distress was not explained by their cultural differences but by gender, gross income and perceived discrimination. Social support offered by those still living at home acted as a buffer. Conclusion: It is important to analyze female migration patterns in order to reduce mental health problems, stress the importance of economic income, and examine how social support offered by those living in oneâ€™s home culture is an effective buffer against mental distress. (PsycINFO Database Record (c) 2016 APA, all rights reserved)</t>
  </si>
  <si>
    <t>Paths to success of Israeli immigrants from different countries of origin</t>
  </si>
  <si>
    <t>This study is a case study of paths of success across different immigrant groups in the same national context. It investigated dimensions of immigrants' success and explored paths of success of immigrants from different countries of origin. Two main dimensions of immigrantsâ€™ success were outlined: economic success and psychological well-being, when the latter included 'sense of belonging' and 'life satisfaction'. An instrument measuring both dimensions of success was developed. The study was based on data from the 2011 Immigrant Survey completed by a representative sample of the immigrant population in Israel, including 2927 immigrants from the Former Soviet Union, Asia &amp; Africa, Europe &amp; America, and Ethiopia. Structural Equation Modeling were used to generate the model of immigrants' success. The main paths of success were outlined. The path of the low-skilled visible minority contrasted with the path of other, more highly skilled groups of immigrants who resembled the local majority population to a greater degree. Understanding factors shaping the success of immigrants from different countries of origin might be used by policymakers to foster immigrants' economic and psychological well-being. (PsycINFO Database Record (c) 2018 APA, all rights reserved)</t>
  </si>
  <si>
    <t>Factors affecting job satisfaction of immigrant Korean nurses</t>
  </si>
  <si>
    <t>Kim, Chankon; Laroche, Michel; Tomiuk, Marc A.</t>
  </si>
  <si>
    <t>A measure of acculturation for Italian Canadians: Scale development and construct validation</t>
  </si>
  <si>
    <t>10.1016/S0147-1767(01)00028-1</t>
  </si>
  <si>
    <t>http://search.ebscohost.com.proxy-ub.rug.nl/login.aspx?direct=true&amp;db=psyh&amp;AN=2001-09150-001&amp;site=ehost-live&amp;scope=site</t>
  </si>
  <si>
    <t>Conceptualizations of the immigrant adaptation process are diverse and often incongruous. There is also a lack of agreement on the interpretation and measurement of constructs underlying the notion of changing ethnicity. In an effort to resolve these differences, this study initially presents a conceptual framework for changing ethnicity by delineating and then integrating its key underlying aspects. This is followed by the development and validation of a multidimensional measure of acculturation for Italian Canadians, one aspect of their ethnic change. Construct validation is based on confirmatory factor analyses of the multitrait-multimethod data. Once validated, the measure is used for an investigation of the relationships between acculturation and some aspects of gender-role perceptions of Italian Canadian spouses. The paper is concluded with a brief discussion on the possibility of extending the application of the measure to other ethnic groups in North America. (PsycINFO Database Record (c) 2016 APA, all rights reserved)</t>
  </si>
  <si>
    <t>Language acculturation anxiety in Spanish speaking adult immigrants learning English in the United States</t>
  </si>
  <si>
    <t>Health beliefs, acculturation and tobacco use among arab-americans living in california</t>
  </si>
  <si>
    <t>Scott, William A.; Scott, Ruth</t>
  </si>
  <si>
    <t>Some predictors of migrant adaptation available at selection time</t>
  </si>
  <si>
    <t>10.1080/00050068508256176</t>
  </si>
  <si>
    <t>http://search.ebscohost.com.proxy-ub.rug.nl/login.aspx?direct=true&amp;db=psyh&amp;AN=1987-21681-001&amp;site=ehost-live&amp;scope=site</t>
  </si>
  <si>
    <t>Interviewed 457 applicants for migration to Australia in a study completely separate from the selection process. The 307 members of 96 families who actually immigrated were interviewed again approximately 3 yrs later. Their satisfactions with many aspects of their lives and their performances in several roles were assessed by a variety of methods (e.g., questionnaires). Adaptation was treated as a multifaceted process, and the immigrants were found to differ in level of adaptation from one area to another. The measures of subjective adaptation tended to be more highly intercorrelated than were the measures of role performance. The most generally useful predictors of adaptation were experience with diverse cultures, fluency in English, emotional health, socioeconomic status (SES), optimism about prospects, (low) affiliative dependence, family solidarity, and interpersonal ties in the former community. (PsycINFO Database Record (c) 2016 APA, all rights reserved)</t>
  </si>
  <si>
    <t>Stodolska, Monika</t>
  </si>
  <si>
    <t>Changes in leisure participation patterns after immigration</t>
  </si>
  <si>
    <t>Leisure Sciences</t>
  </si>
  <si>
    <t>0149-0400</t>
  </si>
  <si>
    <t>10.1080/014904000272966</t>
  </si>
  <si>
    <t>http://search.ebscohost.com.proxy-ub.rug.nl/login.aspx?direct=true&amp;db=psyh&amp;AN=2000-15186-005&amp;site=ehost-live&amp;scope=site</t>
  </si>
  <si>
    <t>Examines postimmigration changes in leisure behavior using qualitative data obtained in a series of in-depth interviews and quantitative data from a mail questionnaire survey conducted in 1996 among 168 recent immigrants (aged 24â€“70 yrs) from Poland residing in Edmonton, Canada. E. L. Jackson and E. Dunn's (1988) theoretic framework is used to investigate the general patterns of postarrival ceasing and starting of participation. Respondents are classified into ceasers, adders, replacers, and continuers, and the proportions in each group are analyzed and compared with the published general-population results. Qualitative data then are used to establish the major causes for the observed postarrival changes in leisure-participation patterns. The analysis is extended to account for activity-based variations in ceasing and starting behavior and those based on age at immigration. Interview material is used to isolate major immigration-related factors that encourage immigrants in various age groups to modify their leisure-participation patterns. The observed postarrival participation changes can be attributed partially to past latent demand, to the decreased role of certain interpersonal constraints, and to being exposed to new leisure opportunities. (PsycINFO Database Record (c) 2016 APA, all rights reserved)</t>
  </si>
  <si>
    <t>Determinants of health-promoting lifestyle behaviors among Arab immigrants from the region of the Levant</t>
  </si>
  <si>
    <t>0160-6891</t>
  </si>
  <si>
    <t>10.1002/nur.21555</t>
  </si>
  <si>
    <t>Arab immigrants in the United States are at risk for heart disease, stroke, and diabetes. We explored healthâ€promoting lifestyle behaviors among Arab immigrants to the United States from the Middle Eastern region of the Levant. In 218 male and female Arab adults surveyed with the revised Healthâ€Promoting Lifestyle Profile (HPLPâ€II), the mean for the HPLPâ€II was 2.73 (range 1â€“4), with spiritual growth and interpersonal relations the most frequently reported practices and physical activity the least frequently practiced dimension of healthâ€promoting behaviors. Multiple linear regression analysis highlighted four determinants of healthâ€promoting lifestyle behaviors: health insurance, acculturation, selfâ€efficacy, and social support. Health promotion programs serving Arab immigrants should take these determinants into consideration. (PsycINFO Database Record (c) 2016 APA, all rights reserved)</t>
  </si>
  <si>
    <t>Reid, Grace Alwen</t>
  </si>
  <si>
    <t>Examining standardized and psychometric potential assessment and acculturation of Jamaican immigrant children</t>
  </si>
  <si>
    <t>http://search.ebscohost.com.proxy-ub.rug.nl/login.aspx?direct=true&amp;db=psyh&amp;AN=2001-95004-035&amp;site=ehost-live&amp;scope=site</t>
  </si>
  <si>
    <t>The principal purpose of the study was to examine the performance of a group of Jamaican immigrant children on a Weschler Intelligence Scale for Children - Third Edition (WISC-III) Short-Form consisting of Arithmetic, Vocabulary, and Block Design using standardized and psychometric potential procedures. Secondarily, the study examined the acculturation levels of the participants to determine whether this was related to their performance on these measures of intelligence. The objectives of the study were (a) to determine whether there were significant differences between the mean Deviation IQ performance of the participants using standardized and psychometric potential assessment procedures, as well as between the mean subtests scores, and (b) to determine whether performance was impacted by the acculturation level of the participants to the United States culture. The statistical analyses and procedures used in the study were the Lindquist Type I analysis of variance (ANOVA), and dependent samples t-tests Statistical significance was established at the .05 level. The results indicate that there were significant differences between the mean IQ scores. The performance of the participants on standardized as well as psychometric potential assessment was however independent of the acculturation levels. The implication is that school psychologists should re-examine their method of testing to determine whether the instruments being used are tapping into the true capabilities of students, especially those that are culturally different. (PsycINFO Database Record (c) 2016 APA, all rights reserved)</t>
  </si>
  <si>
    <t>The relationship between acculturation and schema among young Latino/Latina adult immigrants</t>
  </si>
  <si>
    <t>Kallampally, George Antony</t>
  </si>
  <si>
    <t>Gender, psychological resilience, acculturation and spirituality as predictors of Asian Indian American marital satisfaction</t>
  </si>
  <si>
    <t>http://search.ebscohost.com.proxy-ub.rug.nl/login.aspx?direct=true&amp;db=psyh&amp;AN=2005-99024-123&amp;site=ehost-live&amp;scope=site</t>
  </si>
  <si>
    <t>There is a growing body of research exploring the various aspects of marital satisfaction. But there is hardly any study on this subject in Asian Indian Americans who constitute the third largest Asian population in the USA and whose social, political and economic influence is growing significantly. This correlation study examined the potential influence of gender, psychological resilience, acculturation, and spirituality on marital satisfaction in Asian Indian Americans. As such it represents a psychological and pastoral study. Respondents were 109 Asian Indian immigrants to the USA who volunteered to participate in the study in response to the invitation extended by the researcher through American Asian Indian community leaders. All participants have spent at least five years in the USA and presently are residing here. The instruments used in this study were: Vedic Personality Inventory (VPI), Spiritual Well Being Scale (SWB), Ego Resiliency scale (ER89), Marital Adjustment Test (MAT), and Acculturation Rating Scale for Mexican Americans II (modified) (ARSMA-II). Correlation and regression analyses were performed to identify the effects of the predictor variables on marital satisfaction. The results revealed statistically significant predictive power attributable to the independent variables over and above demographic variables. The results also showed that spirituality has a unique influence on marital satisfaction whereas psychopathology negatively contributed to marital satisfaction. Another important finding of this study is that positive emotions, identified by the VPI subscale Sattva, are associated with decreased psychopathology. Similarly, negative emotions, identified by the subscale of Tamas, are positively associated with increased psychopathology. (PsycINFO Database Record (c) 2016 APA, all rights reserved)</t>
  </si>
  <si>
    <t>Sibling acculturation discrepancy, sibling relationship quality and adjustment among Vietnamese and Chinese young adults in Canada: A mixed-method approach</t>
  </si>
  <si>
    <t>Matsumoto, David; LeRoux, Jeff; Ratzlaff, Charlotte; Tatani, Haruyo; Uchida, Hideko; Kim, Chu; Araki, Shoko</t>
  </si>
  <si>
    <t>Development and validation of a measure of intercultural adjustment potential in Japanese sojourners: The Intercultural Adjustment Potential Scale (ICAPS)</t>
  </si>
  <si>
    <t>10.1016/S0147-1767(01)00019-0</t>
  </si>
  <si>
    <t>http://search.ebscohost.com.proxy-ub.rug.nl/login.aspx?direct=true&amp;db=psyh&amp;AN=2001-18625-002&amp;site=ehost-live&amp;scope=site</t>
  </si>
  <si>
    <t>Examined the development, validity, reliability, and factor structure of the Intercultural Adjustment Potential Scale (ICAPS-55), a measure of intercultural adjustment potential in Japanese sojourners and immigrants to the US. Japanese students, counselors, and sojourners (aged 17â€“76 yrs) participated in a variety of studies examining psychometric properties of the ICAPS-55. Results show that the ICAPS-55 displayed internal, temporal, and parallel forms reliability; predictive ability; convergent validity with a similar measure; construct validity with various personality scales; incremental validity; and external validity in predicting changes as a result of intercultural training. (PsycINFO Database Record (c) 2016 APA, all rights reserved)</t>
  </si>
  <si>
    <t>Reward allocation preferences among Armenian immigrants in the United States: The role of acculturation type and workgroup ethnic composition</t>
  </si>
  <si>
    <t>â€˜Itâ€™s a long way to the Super Leagueâ€™: The experiences of Australasian professional rugby league migrants in the United Kingdom</t>
  </si>
  <si>
    <t>1012-6902</t>
  </si>
  <si>
    <t>International migration and social pain responses</t>
  </si>
  <si>
    <t>0191-8869</t>
  </si>
  <si>
    <t>International migration, arguably one of the most challenging life events, is an increasingly common psychological experience in the globalizing world. One novel approach in theorizing about wide-ranging psychological implications associated with international migration is to consider its effect in thwarting basic psychological needs. The focus of the current research is on a thwarted sense of control that migrants experience in their adjustment to a host society and its association with heightening pain responses. Among foreign-born residents in Canada (Study 1) and the United States (Study 2), a negative association was found between the participants' identification with the host culture and their social pain responses. Study 2 supported the role of a diminished sense of control in mediating this association. (PsycINFO Database Record (c) 2017 APA, all rights reserved)</t>
  </si>
  <si>
    <t>Adaption and coping among East African immigrants in North America</t>
  </si>
  <si>
    <t>Lebedeva, Nadezhda; Tatarko, Alexander</t>
  </si>
  <si>
    <t>Multiculturalism and immigration in post-Soviet Russia</t>
  </si>
  <si>
    <t>1016-9040</t>
  </si>
  <si>
    <t>10.1027/1016-9040/a000161</t>
  </si>
  <si>
    <t>http://search.ebscohost.com.proxy-ub.rug.nl/login.aspx?direct=true&amp;db=psyh&amp;AN=2013-36215-003&amp;site=ehost-live&amp;scope=site</t>
  </si>
  <si>
    <t>This paper addresses some social and psychological issues concerning multiculturalism and immigration in post-Soviet Russia, which is one of the most multicultural societies in the world. The paper begins by describing the current cultural and immigrant diversity in Russia, and then provides a short description of Russian immigrants and the social and psychological problems that immigrants and the larger society face. We present the conceptual framework and findings from empirical studies that examine the reciprocal acculturation and intercultural relations between migrants and members of the larger society. We analyze these studies with respect to their relevance to three hypotheses that have been advanced for examining intercultural relations: the multiculturalism hypothesis; the integration hypothesis; and contact hypothesis. Findings of the studies showed that measures of security, identity, perceived threat/discrimination have a significant relationship with ethnic tolerance, mutual attitudes, acculturation strategies and expectations, and the well-being and life satisfaction of both immigrants and members of the larger society. The results of these studies support all three hypotheses in both groups. The authors concluded that the efforts to improve relations between members of the larger society and immigrants should be directed at enhancing the basic sense of security and at developing programs that increase multicultural attitudes, ethno-cultural competence, and tolerance between both groups. (PsycINFO Database Record (c) 2016 APA, all rights reserved)</t>
  </si>
  <si>
    <t>Liou, Doreen</t>
  </si>
  <si>
    <t>Psychosocial correlates of fat-related dietary behavior in Chinese immigrants by degree of acculturation</t>
  </si>
  <si>
    <t>http://search.ebscohost.com.proxy-ub.rug.nl/login.aspx?direct=true&amp;db=psyh&amp;AN=2000-95016-025&amp;site=ehost-live&amp;scope=site</t>
  </si>
  <si>
    <t>The purpose of this theory-based research study was to determine the social psychological factors that best correlate with fat-related dietary behavior among a sample of Chinese immigrants living in New York City. The survey design was cross-sectional and involved the administration of a questionnaire to a convenience sample of 600 healthy, free-living immigrants from China, ranging from 25 to 70 years of age (231 males and 357 females) representing diverse backgrounds. The questionnaire measured demographic factors, food preferences, and 13 social psychological scales derived from the Theory of Planned Behavior, the Health Belief Model, and Social Cognitive Theory. The content of the questionnaire was made culturally appropriate through a prior detailed qualitative interview study. The dependent measures assessed were intention to reduce dietary fat, behaviors related to the selection of reduced-fat diets, and consumption of high-fat foods. Multiple regression analyses were conducted to determine the association of the social psychological factors with the dependent outcomes. Attitude, overall health concern, and self-efficacy accounted for 58% of the variance in behavioral intention. In the prediction of fat-related dietary behaviors for the entire sample, a total of between 10% and 24% of the variance was explained by psychosocial and demographic factors. In general, a gradient was seen in the increased predictiveness of each regression model by degree of acculturation of the immigrants to American culture, with the more acculturated groups exhibiting the highest predictive values (R2 values between 12% and 67%). Pearson correlations indicated that acculturation was significantly related to declines in the influence of habit and of social norms. T-tests revealed that females and older subjects possessed more positive attitudes and intentions toward reducing dietary fat than that of males and younger subjects. The application of the theoretical frameworks to a Chinese population was useful for eliciting information about the relationships between health beliefs and the adoption of fat-related dietary behaviors. Future studies need to explore in greater detail the potential effects of acculturation on the social, cognitive, and behavioral aspects of Chinese individuals living in America. (PsycINFO Database Record (c) 2016 APA, all rights reserved)</t>
  </si>
  <si>
    <t>Neto, FÃ©lix; Fonseca, Ana Cristina Menezes</t>
  </si>
  <si>
    <t>The Satisfaction with Migration Life Scale</t>
  </si>
  <si>
    <t>This article introduces the Satisfaction With Migration Life Scale (SWMLS) which was devised to evaluate a personâ€™s global judgment of migration satisfaction, and reports data from two studies establishing its reliability and validity. Data were collected from Portuguese migrants living in Switzerland via paper-pencil and online questionnaires. The results from the two studies showed that the SWMLS has favorable psychometric characteristics. Exploratory and confirmatory factor analyses of the SWMLS resulted in a unidimensional factor structure. Cronbachâ€™s Î± was excellent. Evidence of validity was also found between scores on the SWMLS and other indicators of well-being and acculturation. The findings suggested a brief and viable tool to assess satisfaction with migration life. Potential uses of the scale for research are discussed. (PsycINFO Database Record (c) 2016 APA, all rights reserved)</t>
  </si>
  <si>
    <t>Handojo, Virgo</t>
  </si>
  <si>
    <t>Attachment styles, acculturation attitudes/behaviors, and stress among Chinese Indonesian immigrants in the United States</t>
  </si>
  <si>
    <t>http://search.ebscohost.com.proxy-ub.rug.nl/login.aspx?direct=true&amp;db=psyh&amp;AN=2000-95020-238&amp;site=ehost-live&amp;scope=site</t>
  </si>
  <si>
    <t>This survey study explores the associations between adult attachment style, acculturation attitudes and behaviors, and levels of stress experienced by Chinese Indonesian immigrants to the United States. A sample of 297 first generation immigrants was obtained, who were presented with Bartholomew's Relationship Scale Questionnaire (RSQ), the Symptom Checklist-90 (SCL-90), the Satisfaction with Life Scale (SWLS), and the Indonesian Acculturation Rating Scales (IARS), an Indonesian adaptation of the scales used by Cuellar and colleagues to research the acculturation patterns of Mexican-Americans. As hypothesized, secure persons generally demonstrated higher levels of adjustment as indicated by scores on the SCL-90 and the SWLS. Specifically, compared to persons whose attachment style categorizes them as secure, fearful and preoccupied persons reported higher indications of hostility, interpersonal sensitivity, anxiety, depression, and psychosomaticism, and lower levels of satisfaction with life. Compared to dismissive-avoidant persons, fearful and preoccupied persons reported only higher hostility and interpersonal sensitivity. No significant differences were found between secure and dismissive persons or between preoccupied and fearful persons. In exploratory analyses, the results show that the acculturative behavior pattern of immigrants parallels prototypical adult or even infant attachment relationships. In the context of cultural change, compared to those with other styles, persons with secure attachment are the most successful at adapting to acculturative stressors and integrating their own culture with another. Preoccupied persons generally fell between the two extremes of dismissively and securely attached people, with secure persons being more acculturated and oriented toward American culture. Unexpectedly, no significant differences were found between fearful and all styles combined. In terms of marginality, the acculturation attitude patterns follow Bartholomew's four-category typology. Securely attached persons have less difficulty relating to both their own and other cultures. Preoccupied persons tend to have less difficulty relating to their own culture, but are marginalized toward other culture. Dismissively attached people tend to have difficulty relating to own culture but not to other cultures. Fearfully attached persons reported difficulties relating to all cultures. Stress and satisfaction with life both mediated significantly the relationship between preoccupied and marginality, but not with other attachment styles. Findings are discussed in terms of attachment working models, and implications for future research and ministry to this immigrant population are explored. (PsycINFO Database Record (c) 2016 APA, all rights reserved)</t>
  </si>
  <si>
    <t>Downer, Yvonne</t>
  </si>
  <si>
    <t>Jamaican immigrant adjustment and education: Challenges and choices in a New York tertiary institution</t>
  </si>
  <si>
    <t>http://search.ebscohost.com.proxy-ub.rug.nl/login.aspx?direct=true&amp;db=psyh&amp;AN=2015-99170-378&amp;site=ehost-live&amp;scope=site</t>
  </si>
  <si>
    <t>This qualitative research was conducted to explore how eight Jamaican immigrant college students perceived the challenges they faced adjusting in the United States, while simultaneously pursuing a college degree. The study was conducted in New York City and all eight participants were attending the same college of the City University of New York (CUNY). Data collection methods included questionnaires, interviews, and observations. The findings suggest that these eight participants have not fully assimilated into the United States culture but have instead adjusted using the pathway that Portes and Zhou (1993) and Portes and Rumbaut (2001) termed, selective acculturation. The participants have retained most of their Jamaican cultural norms and from the US, have adopted cultural aspects that will promote their success. This I have classified as Retentive and Adoptive Selectivity Construct. Six of the eight participants also demonstrated that it is possible to acculturate while pursuing under-graduate studies. Despite the challenges of adjusting to unfamiliar climatic conditions; dealing with the loss of family, friends, and homeland; adjusting to the college climate; and experiencing racial and ethnic discrimination; these participants were able to maintain a 3.0 GPA. Participants credited family and community for their success, a position supported by Akiba (2007), Ferquson (2012), Vickerman (2001), and Ogbu (1998), who all proposed that these factors are essential for immigrants' successful adjustment and education. (PsycINFO Database Record (c) 2016 APA, all rights reserved)</t>
  </si>
  <si>
    <t>Chen, I-Heng</t>
  </si>
  <si>
    <t>Work values, acculturation and job satisfaction among Chinese immigrant professionals</t>
  </si>
  <si>
    <t>http://search.ebscohost.com.proxy-ub.rug.nl/login.aspx?direct=true&amp;db=psyh&amp;AN=1996-95018-059&amp;site=ehost-live&amp;scope=site</t>
  </si>
  <si>
    <t>The purpose of the study was to examine the relationship among work values, acculturation, and job satisfaction of Chinese professionals in United States. One hundred and sixty-seven Chinese professionals in New York, New Jersey, and Connecticut participated in this study. Four questionnaires--the Values Scale, Confucian Work Dynamism, the revised Chinese Acculturation Scale, and the Minnesota Satisfaction Questionnaire--were used to measure the work values, acculturation, and job satisfaction of the study participants. Descriptive statistics, t-test, and product-moment correlation analysis were used to analyze the data. The study results indicate that Chinese immigrants professionals are indeed concerned with 'self-actualization' in their work, but also with material welfare. The results demonstrate that the seven most significant values were achievement, economic rewards, ability utilization, personal development, life style, economic security, and aesthetics. Regarding acculturation, they could be considered bi-culture. As for job satisfaction, none of the average scores of the 20 specific satisfaction reached 'satisfaction' level; low levels of job satisfaction were pervasive among Chinese immigrant professionals. Chinese immigrants professionals were the least happy with the scarce opportunities for advancement on their job. Female Chinese professionals were found be less acculturated than male Chinese professionals in general. No statistically significant differences were found between males and females on the 21 Super's values scales and the Confucian Work Dynamism Scale, although females valued 'being with friends' and 'personal steadiness and stability' slightly more than males did. No statistically significant differences were found between genders in general and specific job satisfaction either, except that males were more satisfied with their pay and the amount of work they did (compensation) when compared to females. Those who worked for non-Chinese bo (PsycINFO Database Record (c) 2016 APA, all rights reserved)</t>
  </si>
  <si>
    <t>Stress, illness, and the social environment: Depressive symptoms among first generation Mandarin speaking Chinese in greater Los Angeles</t>
  </si>
  <si>
    <t>Intercultural relations in Russia and Latvia: The relationship between contact and cultural security</t>
  </si>
  <si>
    <t>Becker, Adeline</t>
  </si>
  <si>
    <t>The role of the school in the maintenance and change of ethnic group affiliation</t>
  </si>
  <si>
    <t>Human Organization</t>
  </si>
  <si>
    <t>0018-7259</t>
  </si>
  <si>
    <t>10.17730/humo.49.1.854566u18586407q</t>
  </si>
  <si>
    <t>http://search.ebscohost.com.proxy-ub.rug.nl/login.aspx?direct=true&amp;db=psyh&amp;AN=1990-26890-001&amp;site=ehost-live&amp;scope=site</t>
  </si>
  <si>
    <t>Examined the effect of implicit educational policies on 18 Portuguese immigrant students in an urban New England high school. Data were gathered with participant observation, personal interviews, and questionnaires. Assimilation of the ethnic group was simultaneously encouraged and thwarted by the educational hierarchy. Students continued to be regarded as Portuguese long after they had chosen to identify themselves as Anglos. Because acceptance by Anglos was neither immediate nor total, group members still associated with each other, further increasing their identification with the ethnic group. (PsycINFO Database Record (c) 2016 APA, all rights reserved)</t>
  </si>
  <si>
    <t>Guest, Avery M.; Stamm, Keith R.</t>
  </si>
  <si>
    <t>Paths of community integration</t>
  </si>
  <si>
    <t>The Sociological Quarterly</t>
  </si>
  <si>
    <t>0038-0253</t>
  </si>
  <si>
    <t>10.1111/j.1533-8525.1993.tb00107.x</t>
  </si>
  <si>
    <t>http://search.ebscohost.com.proxy-ub.rug.nl/login.aspx?direct=true&amp;db=psyh&amp;AN=1994-17168-001&amp;site=ehost-live&amp;scope=site</t>
  </si>
  <si>
    <t>Examines the mechanisms by which immigrant individuals and families become part of their new community, focusing on paths of integration. Data collected from questionnaires completed by 400 immigrants to Seattle, in which they indicated the amount of effort they devoted to 9 specific integration activities, identified 3 major paths, namely social community integration, formal residential integration, and personal integration. Potential explanatory variables were classified as life cycle factors, social status, community attachment, and pre-existing social ties. Results show that most immigrants focus on finding a job, house, and neighborhood. Age, marital status, and having children were the strongest correlates of the paths of integration, while social status, temporal involvement, and the auspices of integration were weak predictors. (PsycINFO Database Record (c) 2017 APA, all rights reserved)</t>
  </si>
  <si>
    <t>TinghÃ¶g, Petter; Al-Saffar, Suad; Carstensen, John; Nordenfelt, Lennart</t>
  </si>
  <si>
    <t>The association of immigrant- and non-immigrant-specific factors with mental ill health among immigrants in Sweden</t>
  </si>
  <si>
    <t>10.1177/0020764008096163</t>
  </si>
  <si>
    <t>http://search.ebscohost.com.proxy-ub.rug.nl/login.aspx?direct=true&amp;db=psyh&amp;AN=2010-00679-007&amp;site=ehost-live&amp;scope=site</t>
  </si>
  <si>
    <t>Background: It has often been shown that immigrants are particularly at risk for mental ill health. The aim of the study was to investigate the association of immigrant- and non-immigrant-specific factors with mental ill health within a diverse immigrant population. Method: An extensive questionnaire was sent out to a stratified random sample of three immigrant populations from Finland, Iraq and Iran. The 720 respondents completed a Swedish, Arabic or Farsi (Persian) version of the questionnaire including the WHO (10) Well-Being Index and the HSCL-25. Results: The results indicate that mental ill health among immigrants is independently associated with non-immigrant-specific factors (i.e. high number of types of traumatic episodes, divorced/widowed, poor social network, economic insecurity and being female) and immigrant-specific factors (i.e. low level of sociocultural adaptation). These results were obtained regardless of whether mental ill health was operationalized as low subjective well-being or a high symptom level of anxiety/depression. Conclusions: These findings support the notion that mental ill health among immigrants is a multi-faceted phenomenon that needs to be tackled within a wide range of sectorsâ€”e.g. the healthcare system, the social service sector and, of course, the political arena. (PsycINFO Database Record (c) 2016 APA, all rights reserved)</t>
  </si>
  <si>
    <t>Outside of the gateway, just off the beltway: Ghanaian and Nigerian immigrants in the United States</t>
  </si>
  <si>
    <t>This dissertation is a study of contemporary Black African migration to the United States. It is motivated by the conundrum between these migrants' high pre-migration human capital and their lower-than-expected post-migration socioeconomic status in the U.S. Angled at the intersection of race and migration, this research is informed by four major bodies of theoryâ€”international migration theory, theories on racial hierarchy and race relations, contemporary assimilation theory, and social network theory. This research has a two-fold agenda: (1) to uncover how race/ethnicity and social class accommodate or obstruct the migration and assimilation of African immigrants and (2) to clarify how social networks in various contexts facilitate or constrain the assimilation of African-horn migrants in the U.S. This research employs an extended case method approach which is suitable for research that aims to reconstruct existing theory. The instruments include a survey on background information, in-depth interviews on migration history and adaptation process, survey instruments for network analysis, and 'shadowing' observations with Ghanaian and Nigerian immigrants residing in Maryland. A snowball sampling technique was used to recruit participants that vary by individual and contextual characteristics through school, work, and neighborhood-based associations, voluntary organizations, and field contacts. I find that Ghanaians and Nigerians migrate to the United States in pursuit of educational and occupational opportunity in a politically stable society. They use their human-cultural, social, and financial capital to acquire a vast array of visas in pursuit of the American Dream. However, their ability to successfully integrate into American society is circumscribed by their immigration status, race, gender, and class backgrounds as illustrated by their migration processes, educational experiences, workforce trajectories, and social integration patterns in the United States. While I st generation immigrants exhibit varying degrees of success, their determination and selective acculturation strategiesâ€”mainstream economic integration coupled with selective cultural assimilationâ€”pave the way for subsequent cohorts and generations of Ghanaian and Nigerian immigrants to enjoy upward mobility in American society. These findings establish assimilation as a multigenerational process circumscribed by societal structure but also negotiated through immigrant agency. (PsycINFO Database Record (c) 2016 APA, all rights reserved)</t>
  </si>
  <si>
    <t>Kimhi, Shaul; Bliwise, Nancy G.</t>
  </si>
  <si>
    <t>Perceived change of values and intention to return among Kibbutz people who emigrated from Israel</t>
  </si>
  <si>
    <t>0022-3980</t>
  </si>
  <si>
    <t>10.1080/00223980.1992.10543396</t>
  </si>
  <si>
    <t>http://search.ebscohost.com.proxy-ub.rug.nl/login.aspx?direct=true&amp;db=psyh&amp;AN=1993-29192-001&amp;site=ehost-live&amp;scope=site</t>
  </si>
  <si>
    <t>Examined perceived changes of values and intentions to return to Israel among 149 Kibbutz people (aged 25â€“55 yrs) who had lived for 3â€“22 yrs in New York, Los Angeles, and San Francisco. In answering standardized attitude questionnaires, Ss reported significantly less general agreement today with Kibbutz values, but more support for the idea that Israel should compromise on occupied territories and more support for the idea that people should live where they choose. Political opinions also moved toward more liberal attitudes. Most Ss intended to return to Israel without specifying a clear time frame. Values were significantly associated with behavioral intentions, with those endorsing Zionist values the most likely to report that they would return to Israel in times of war or peace. Results suggest acculturation to American society and political opinions. (PsycINFO Database Record (c) 2016 APA, all rights reserved)</t>
  </si>
  <si>
    <t>Nortey, Jacob J.</t>
  </si>
  <si>
    <t>Acculturation in moral development: The impact of acculturation on Kohlberg's moral development model (Lawrence Kohlberg)</t>
  </si>
  <si>
    <t>http://search.ebscohost.com.proxy-ub.rug.nl/login.aspx?direct=true&amp;db=psyh&amp;AN=2005-99017-061&amp;site=ehost-live&amp;scope=site</t>
  </si>
  <si>
    <t>Educational researchers have generally regarded Lawrence Kohlberg's model of moral development (principled moral reasoning) as a pillar theory. It is presented as a six-stage progression model with universal application. Experiments using Rest's Defining Issues Test (DIT) that measures stages in the model have not shown subjects coming from non-western cultures as scoring as high as subjects from western cultures, especially at the model's 'postconventional' level (stages five and six). This study assessed the level of acculturation of minority, college (or equivalent) educated immigrants from non-western cultures, now living in the USA, to determine the relationship between their levels of acculturation and the principled moral reasoning they manifest. The study hypothesized that immigrants with higher scores on the dominant society immersion scale were likely to produce higher levels of principled moral reasoning as defined by the Defining Issues Test and also, that conversely, immigrants with higher scores on the ethnic society immersion scale were likely to obtain lower levels of principled moral reasoning. Two psychological questionnaires were administered. The Stephenson Multigroup Acculturation Scale (SMAS) measured levels of acculturation. The SMAS provided two scores, namely, dominant society immersion score, and ethnic society immersion score. The Defining Issues Test determined the postconventional principled moral reasoning currently held by the subjects (expressed as their P scores). The analysis resulted in a significant positive correlation between the P score and the dominant society immersion. This shows that those with higher levels of principled moral reasoning are likely to get higher scores on the dominant society immersion scale. Conversely, those with higher levels of principled moral reasoning were more likely to obtain lower scores on the ethnic society immersion scale. The finding brings into question the concept of universality in Kohlberg's theory of moral development. (PsycINFO Database Record (c) 2016 APA, all rights reserved)</t>
  </si>
  <si>
    <t>Bhatnagar, Joti K.</t>
  </si>
  <si>
    <t>Linguistic behaviour and adjustment of immigrant children in French and English schools in Montreal</t>
  </si>
  <si>
    <t>International Review of Applied Psychology</t>
  </si>
  <si>
    <t>0035-340X</t>
  </si>
  <si>
    <t>10.1111/j.1464-0597.1980.tb00887.x</t>
  </si>
  <si>
    <t>http://search.ebscohost.com.proxy-ub.rug.nl/login.aspx?direct=true&amp;db=psyh&amp;AN=1981-10111-001&amp;site=ehost-live&amp;scope=site</t>
  </si>
  <si>
    <t>Investigated how immigrant children (e.g., Italians) in Montreal use their native tongue and a Canadian language (French or English) in school and in social relations. Ss were 345 English-speaking Canadian children, 273 immigrants, 204 French-speaking Canadian children, and 276 controls. Instruments used were the Culture Fair Intelligence Test and other measures, such as evaluation by teachers, school grades, and interviews. Results do not support the popular assumption that the more immigrant children speak the local language, the better their adjustment to the host culture. On the contrary, Ss who used a Canadian language and their own native tongue were significantly superior. (French summary) (26 ref) (PsycINFO Database Record (c) 2016 APA, all rights reserved)</t>
  </si>
  <si>
    <t>Acculturation, social connectedness, and subjective well being</t>
  </si>
  <si>
    <t>Sudanese in Australia: Renewal and hope</t>
  </si>
  <si>
    <t>Examination of acculturation and personality for Asian Indians in the United States</t>
  </si>
  <si>
    <t>Daily spiritual experiences, social support, and depression among elderly Korean immigrants</t>
  </si>
  <si>
    <t>1360-7863</t>
  </si>
  <si>
    <t>Objectives: This study examined the associations of daily spiritual experiences (DSE) and social support with depression to find viable coping resources and enhance the quality of life among elderly Korean immigrants. Method: We used Smithâ€™s (2003) theory of religious effects and Baron and Kennyâ€™s (1986) approach for mediation analysis to explain the mediating role of social support between DSE and depression. The sample consisted of 200 elderly Korean immigrants who were aged 65 or older (mean age = 72.5, range = 65â€“89) living in the New York City Metropolitan area. Hierarchical regression model was used with SPSS version 17.0 to analyze cross-sectional data. Results: Elderly Korean immigrants in the present sample were found to be moderately engaged in DSE but not experiencing a fair level of social support. Respondents reported no depression on the average but 30% of them (60 out of 200 respondents) were experiencing mild to severe depression. Both DSE and social support were inversely related with depression, and the relationship between DSE and depression was mediated by social support. Conclusion: These findings are only suggestive and should not be generalized to a larger population. However, this study supports the importance of DSE and social support in the life of elderly Korean immigrants as a way to alleviate depression. Mental health professionals may consider facilitating social network when elderly Korean immigrants suffer from depression. (PsycINFO Database Record (c) 2016 APA, all rights reserved)</t>
  </si>
  <si>
    <t>Cheng, Janice Elaine</t>
  </si>
  <si>
    <t>Acculturation and control strategies in Chinese-Americans</t>
  </si>
  <si>
    <t>http://search.ebscohost.com.proxy-ub.rug.nl/login.aspx?direct=true&amp;db=psyh&amp;AN=2000-95006-366&amp;site=ehost-live&amp;scope=site</t>
  </si>
  <si>
    <t>This cross-sectional study explores the complex relationships between acculturation and control strategies in Chinese Americans. The control strategies are action orientation and state orientation (AO-SO: Kuhl, 1994b), and primary control and secondary control (PC-SC: Rothbaum, Weisz, &amp; Snyder, 1982; Weisz, Rothbaum, and Blackburn, 1984). The theories underlying these control strategies evolved from Western perspectives and explain intention and goal-directed human behavior. AO concerns the ease of carrying out intentions (i.e., high action control [AC]) whereas SO concerns the difficulty of carrying out intentions (i.e., low AC, which has state-oriented characteristics of preoccupation, hesitation, and volatility; Kuhl, 1994b). According to initial PC-SC theory, PC concerns the ways that humans directly effect social and physical change; in contrast, SC concerns human accommodation to the environment (Rothbaum et al., 1982). A theory addition was that Westerners exert more PC than Asians whereas Asians exert more SC than Westerners (Weisz et al., 1984). Previous AO-SO research did not study Asian or Asian American populations. Almost all prior experimental PC-SC research was conducted on Western samples. In the present study, East-West differences are approximated in the acculturation process. Chinese American participants (N = 228) were shown to vary by acculturation level (measured by degree of Chinese culturality and American culturality), as well as by generation level (n1 = 98, n2 = 102, n3+4 = 28). Pearson correlational analyses, controlling for years in the U.S. and annual income level, suggested that: (a) Chinese culturality is positively associated with AC and SC (both at home and at work); (b) American culturality is positively associated with PC (both at home and at work); (c) decision-related AC, an AC subconstruct, is associated with PC; and (d) failure-related AC, another AC subconstruct, is associated with SC. MANOVA results suggested that immigrant participants have the highest AC and PC score means. Cultural differences related to intention, action, and control or the fear of loss of face (Huang, 1991; Shon &amp; Ja, 1982; Uba, 1994) may account for the findings. This research adds to the sparse literature on the psychology of Chinese Americans, provides a new understanding of the relationships between acculturation and control strategies, and offers new and improved instruments for assessing acculturation and behavior in Chinese Americans. (PsycINFO Database Record (c) 2016 APA, all rights reserved)</t>
  </si>
  <si>
    <t>Changing behaviours and continuing silence: Sex in the post-immigration lives of mainland Chinese immigrants in Canada</t>
  </si>
  <si>
    <t>1369-1058</t>
  </si>
  <si>
    <t>In China, reluctance to discuss sex continues to be widely observed despite the sexual revolution there. That silence generates questions about health risks in the contexts of HIV/AIDS and international migration. Based on a qualitative study of mainland Chinese immigrants in Canada, this paper explores the impacts of immigration processes on sex and sexuality. The findings reveal a gap between these individualsâ€™ changing sexual behaviours and the continuing silence on sex. Although Canada has exposed them to a new living environment that has shaped the dynamics and patterns of their sexual practices, their incomplete integration into the host society and their close connections with China as the home country mean that traditional Chinese norms continue to influence their understanding of these changes. With the increasing openness of these immigrantsâ€™ sexual relationships, the obsolescence of their consciousness and knowledge of sexuality should be addressed in order to reduce their vulnerability to sexual inequalities and consequent health risks. (PsycINFO Database Record (c) 2016 APA, all rights reserved)</t>
  </si>
  <si>
    <t>Polek, ElÅ¼bieta; van Oudenhoven, Jan Pieter; ten Berge, Jos M. F.</t>
  </si>
  <si>
    <t>Attachment styles and demographic factors as predictors of sociocultural and psychological adjustment of Eastern European immigrants in the Netherlands</t>
  </si>
  <si>
    <t>The present study examined the relationship between adult attachment styles and psychological and sociocultural adjustment of Polish, Russian, and Hungarian immigrants (N = 631) to Dutch society. In addition, it also examined the relationship between demographic factors and adjustment and compared the predictive value of attachment styles and demographic factors for immigrants' adjustment. The Attachment Style Questionnaire was used to assess respondents' attachment. Psychological adjustment was measured with the Psychological Health Scale and the Satisfaction With Life Scale. Sociocultural adjustment was measured with the Social Support Listâ€”Interactions scale. Two scales for measuring identification and contact with the native and with the Dutch culture were developed and used as indicators of cultural adjustment. We found relations between attachment styles and psychological and sociocultural adjustment. Secure attachment was positively related (p &lt; .01) to psychological and sociocultural adjustment, fearful attachment was negatively (p &lt; .01) associated with psychological adjustment, and more negatively with identification with the Dutch culture than with identification with the native culture. Preoccupied attachment was negatively related (p &lt; .01) to psychological adjustment and to identification with the Dutch culture. Dismissing attachment was weakly negatively related (p &lt; .01) to sociocultural adjustment. Correlation patterns across the three immigrants' samples indicate that dismissing individuals remain relatively indifferent towards their native and the Dutch culture. Regarding demographic factors we found that education and age at immigration were positively associated with psychological and sociocultural adjustment, and length of residence appeared to be positively related to sociocultural adjustment. In general, demographic factors showed a stronger association with sociocultural than with psychological adjustment. Regression analysis revealed that attachment styles were better predictors of immigrants' psychological and sociocultural adjustment than demographic factorsâ€”education, age at immigration, and length of residence. The results indicate that immigrant studies would benefit from taking an attachment perspective. (PsycINFO Database Record (c) 2016 APA, all rights reserved)</t>
  </si>
  <si>
    <t>Yao, Esther L.</t>
  </si>
  <si>
    <t>The assimilation of contemporary Chinese immigrants</t>
  </si>
  <si>
    <t>10.1080/00223980.1979.9915060</t>
  </si>
  <si>
    <t>http://search.ebscohost.com.proxy-ub.rug.nl/login.aspx?direct=true&amp;db=psyh&amp;AN=1980-20882-001&amp;site=ehost-live&amp;scope=site</t>
  </si>
  <si>
    <t>Studied the assimilation patterns of the Chinese who immigrated to the US after World War II by selecting 133 first-generation Chinese Americans in metropolitan areas. Their assimilation in terms of extrinsic and intrinsic cultural traits was measured by 2 attitude inventories. Comparison between the intrinsic and extrinsic cultural traits showed that the former had a lower degree of assimilation than the latter. The inconsistent patterns of assimilation demonstrated by the sample are coherent with the theoretical schemes proposed by M. M. Gordon (1964), C. W. Kiefer (1974), and W. M. Newman (1973). (13 ref) (PsycINFO Database Record (c) 2016 APA, all rights reserved)</t>
  </si>
  <si>
    <t>Kaul, Mohan L.</t>
  </si>
  <si>
    <t>Adaptation of recently arrived professional immigrants from India in four selected communities of Ohio</t>
  </si>
  <si>
    <t>Journal of Applied Social Sciences</t>
  </si>
  <si>
    <t>0146-4310</t>
  </si>
  <si>
    <t>http://search.ebscohost.com.proxy-ub.rug.nl/login.aspx?direct=true&amp;db=psyh&amp;AN=1984-09311-001&amp;site=ehost-live&amp;scope=site</t>
  </si>
  <si>
    <t>Investigated the adaptation of 490 professional immigrants from India who settled in the communities of Akron, Canton, Cleveland, and Kent in Ohio. Four possible styles of adaptation were identified: assimilation, accommodation, isolation, and deviance. Data were obtained from a 73-item 2-part questionnaire, interviews, participant observation, and Indian newspapers. Findings indicate that Ss in this sample did not want to be identified as different by either Americans or Indians. There was some evidence of isolation and a minor incidence of passive deviant behavior. These results suggest that recently arrived professional Indian immigrants may be seen as intellectuals who derive personal satisfaction within the boundaries of their primary group networks, have generally been accepted by the American communities, and are in the stage of accommodation/cultural assimilation. (23 ref) (PsycINFO Database Record (c) 2016 APA, all rights reserved)</t>
  </si>
  <si>
    <t>Wiley, Shaun</t>
  </si>
  <si>
    <t>Rejection-identification among Latino immigrants in the United States</t>
  </si>
  <si>
    <t>10.1016/j.ijintrel.2012.08.018</t>
  </si>
  <si>
    <t>http://search.ebscohost.com.proxy-ub.rug.nl/login.aspx?direct=true&amp;db=psyh&amp;AN=2012-26101-001&amp;site=ehost-live&amp;scope=site</t>
  </si>
  <si>
    <t>When people perceive that they are rejected because of a group membership, identification with that group can increase, a phenomenon known as rejection-identification. Immigrants represent an interesting case for rejection-identification because (a) they can face rejection from both members of the majority group in the host country (e.g., Americans) and their ethnic community (e.g., Mexicans) specifically because of the membership in the other and (b) their ethnic and national identities are tied to different contexts and carry different levels of investment. In a survey of Latino immigrants in the United States, it was found that perceived group-based rejection from Latinos was related to lower ethnic identification and stronger identification with the United States and marginally stronger bicultural identification as Latino-American. Perceived group-based rejection from other Americans was related to stronger disidentification with the United States, but had no relationship to ethnic identification. These effects were independent of feelings of personal acceptance. The application of the rejection-identification model to the case of immigration is discussed. (PsycINFO Database Record (c) 2016 APA, all rights reserved)</t>
  </si>
  <si>
    <t>Mier, Nelda; Smith, Matthew Lee; Carrillo-Zuniga, Genny; Wang, Xiaohui; Garza, Norma; Ory, Marcia G.</t>
  </si>
  <si>
    <t>Personal and cultural influences on diabetes self-care behaviors among older Hispanics born in the U S and Mexico</t>
  </si>
  <si>
    <t>10.1007/s10903-012-9639-x</t>
  </si>
  <si>
    <t>http://search.ebscohost.com.proxy-ub.rug.nl/login.aspx?direct=true&amp;db=psyh&amp;AN=2012-30855-020&amp;site=ehost-live&amp;scope=site</t>
  </si>
  <si>
    <t>Older Hispanics are disproportionately affected by diabetes, but little is known about predictors of diabetes self-care among this group. This study compared the magnitude of three self-care behaviors (diet, physical activity (PA), and glucose monitoring) among older Hispanics with type 2 diabetes born in the United States (n = 59) to those born in Mexico (n = 179), and investigated the influence of personal and health indicators on each self-care behavior. Findings were based on data drawn from convenience sample data collected with a questionnaire. Self-care behaviors were moderately practiced (39.5â€“45.8 %) with no significant differences by nativity. Mexico-born seniors were less linguistically acculturated (P &lt; 0.001). Being female (OR = 2.41) and PA levels (OR = 2.62) were significantly associated with diet. Being female (OR = 3.24), more educated (OR = 3.73), U.S.-born (OR = 2.84), and receiving diabetes education (OR = 3.67) were associated with PA. Diabetes education (OR = 2.41) was associated with glucose monitoring. Although acculturation influenced only PA and no other behaviors, personal and cultural factors require further investigation to design diabetes management strategies for Hispanic seniors at the border region. (PsycINFO Database Record (c) 2016 APA, all rights reserved)</t>
  </si>
  <si>
    <t>Perceived racism and blood pressure in foreign-born Mexicans</t>
  </si>
  <si>
    <t>Studies have identified perceived racism as one type of social stress that is believed to contribute to hypertension, though no studies to date have examined the relationship between perceived racism and blood pressure among foreign-born Mexicans living in the United States (U.S.). In addition, studies have shown that acculturation may increase levels of perceived discrimination among foreign-born Mexicans living in the U.S. The primary purpose of this study was to examine the relationship between perceived racism and ambulatory blood pressure among a convenience sample of 332 foreign-born Mexicans living in Utah County, Utah controlling for age, gender, body mass index (BMI), and acculturation. This was done through the use of several multiple regression analyses using archival data collected at Brigham Young University. The Perceived Ethnic Discrimination Questionnaireâ€”Community Version (Brief PEDQâ€”CV) was used to measure perceived racism. The Acculturation Rating Scale for Mexican Americans (ARSMA-II) was used to measure both language and general acculturation. Four blood pressure variables, including waking systolic blood pressure (WSBP), waking diastolic blood pressure (WDBP), sleeping systolic blood pressure (SSBP), and sleeping diastolic blood pressure (SDBP) were used as outcome variables in the regression analyses. A relationship between perceived racism and any of the ambulatory blood pressure variables used in this study was not found. In addition, English-language acculturation was not found to moderate the relationship between perceived racism and blood pressure in the sample of first generation Mexicans participating in this study. A moderating effect of general acculturation on the relationship between perceived racism and blood pressure was found when controlling for age, BMI, and gender, though this moderating effect disappeared when WDBP was included in the regression model. Implications of findings, limitations, and directions for future research are discussed. Keywords: perceived racism, Perceived Ethnic Discrimination Questionnaireâ€”Community Version (Brief PEDQâ€”CV), acculturation, Acculturation Rating Scale for Mexican Americans (ARSMA-II), ambulatory blood pressure, immigrants, Mexican, foreign-born. (PsycINFO Database Record (c) 2016 APA, all rights reserved)</t>
  </si>
  <si>
    <t>Greenhalgh, Trisha; Chowdhury, Mu'Min; Wood, Gary W.</t>
  </si>
  <si>
    <t>Story-based scales: Development and validation of questionnaires to measure subjective health status and cultural adherence in British Bangladeshis with diabetes</t>
  </si>
  <si>
    <t>Psychology, Health &amp; Medicine</t>
  </si>
  <si>
    <t>1354-8506</t>
  </si>
  <si>
    <t>10.1080/13548500500429379</t>
  </si>
  <si>
    <t>http://search.ebscohost.com.proxy-ub.rug.nl/login.aspx?direct=true&amp;db=psyh&amp;AN=2006-21059-005&amp;site=ehost-live&amp;scope=site</t>
  </si>
  <si>
    <t>[Correction Notice: An erratum for this article was reported in Vol 12(1) of Psychology, Health &amp; Medicine (see record [rid]2006-21381-013[/rid]). The authors wish the following correction to be made in relation to Appendix 2. In the last box (score 5 in the social activities dimension) the text should read: Mrs Khanum is known to have mild diabetes. Nevertheless, she is very pleased with her life situation and satisfied with her personal life. She feels that so far, she has lived the kind of life she wanted to. She is eager to tackle her daily tasks and has no trouble making new decisions or coping with problems in her life. She feels that her life is full of interesting things. A full version of the questionnaire is available from the authors.] Questionnaires that measure subjective health status are increasingly used in clinical trials. But scales based on the quantification of subjective traits ('rate your feelings on a scale of 1 to 5') and initially developed in western population samples may not be valid for use in minority ethnic groups, even if accurately translated. The measurement of cultural adaptation and assimilation in immigrant groups is important for health research but has well documented methodological challenges. The aim of this study was to develop valid and reliable questionnaires to measure subjective health status and cultural adherence in a minority ethnic group, using the story as the unit of inquiry. The design was a multi-phase study involving (a) narrative interview, (b) vignette construction, (c) questionnaire development, and (d) questionnaire validation in relation to two scales (well-being and cultural adherence) in British Bangladeshis with diabetes. Using data from in-depth narrative interviews (i.e., a non-directive research technique in which the participant is invited to 'tell me the story about your diabetes, starting with when you first noticed anything wrong', and the only prompts used are 'tell me more about that' or 'what happened next?'; Greenhalgh, Helman, &amp; Chowdhury, 1998; Muller, 1999), we constructed culturally congruent vignettes to depict different subjective health states and behaviours. We refined these items in focus group interviews and validated the instruments on 98 Bangladeshi participants, randomly sampled from GP diabetes registers in inner London and interviewed by a Bangladeshi anthropologist. We used factor analysis to explore the underlying structure in the responses to questionnaire items, plus Cronbach alpha tests to measure internal consistency of scales. The questionnaires were acceptable and credible to Bangladeshi participants with diabetes. Ninety of 98 participants were able and willing to complete them with interviewer assistance. Following factor analysis, we produced two definitive instruments. The well-being scale was a single-factor model with four story-based items (measuring depression, anxiety, physical energy, and social activities), with a Cronbach's alpha of .92. The cultural adherence scale was a single-factor model with five items (measuring religious restrictions, ethnic practices, and social ties), with a Cronbach's alpha of .83. In conclusion, this study has produced two important outputs: (a) easy-to-administer, story-based questionnaires that measure well-being and cultural adherence, which are specific to British Bangladeshis with diabetes; (b) a general method for developing story-based instruments to quantify the subjective experience of illness and adherence to cultural norms, which potentially has applications beyond the study population. (PsycINFO Database Record (c) 2018 APA, all rights reserved)</t>
  </si>
  <si>
    <t>Barry, D. T.; Garner, D. M.</t>
  </si>
  <si>
    <t>Eating concerns in East Asian immigrants: Relationship between acculturation, self-construal, ethnic identity, gender, psychological functioning, and eating concerns</t>
  </si>
  <si>
    <t>Eating and Weight Disorders</t>
  </si>
  <si>
    <t>1124-4909</t>
  </si>
  <si>
    <t>10.1007/BF03339757</t>
  </si>
  <si>
    <t>http://search.ebscohost.com.proxy-ub.rug.nl/login.aspx?direct=true&amp;db=psyh&amp;AN=2002-12506-004&amp;site=ehost-live&amp;scope=site</t>
  </si>
  <si>
    <t>Eating concerns in East Asian immigrants were assessed and their association with acculturation status, self-construal, ethnic identity, gender and psychological functioning was examined. 150 East Asian immigrants (75 males and 75 females, mean age 28.7 yrs) were administered a battery of psychometrically established measures with satisfactory reliability and validity. Females were more prone to eating concerns and these were positively related to symptoms of psychological distress. Acculturation, self-construal, ethnic identity and psychological functioning were not related to desire to be thinner, feeling guilt after eating, fear of being overweight nor preoccupation with the thought of having fat on one's body. Collective self-esteem and symptoms of psychological distress were positively related to feeling discomfort after eating sweets, while interdependent self-construal and assimilation were negatively related. Culturally relevant variables, namely acculturation, self-construal and ethnic identity, were related to only certain facets of eating concerns. The findings suggest the importance of assessing discrete, psychologically-relevant facets of culture rather than more global constructs such as westernization when examining eating concerns in immigrant populations. (PsycINFO Database Record (c) 2016 APA, all rights reserved)</t>
  </si>
  <si>
    <t>Masuda, Minoru; Matsumoto, Gary H.; Meredith, Gerald M.</t>
  </si>
  <si>
    <t>Ethnic identity in three generations of Japanese Americans</t>
  </si>
  <si>
    <t>10.1080/00224545.1970.9922441</t>
  </si>
  <si>
    <t>http://search.ebscohost.com.proxy-ub.rug.nl/login.aspx?direct=true&amp;db=psyh&amp;AN=1970-20745-001&amp;site=ehost-live&amp;scope=site</t>
  </si>
  <si>
    <t>Ethnic identification in 3 generations of Japanese Americans in Seattle, Washington, was quantified with a 50-item Ethnic Identity Questionnaire. The total ethnic identity scores were significantly different across generations in the hypothesized direction, 1st &gt; 2nd &gt;3rd. No difference was seen between sexes within generations. Acculturation of the immigrant, 1st generation was indicated by item score analyses as was the presence of a considerable residual of Japanese ethnic identity in the 3rd generation Japanese-American. Education and socioeconomic status were negatively associated with ethnic identification and Buddhist religion was not a significant factor. (PsycINFO Database Record (c) 2016 APA, all rights reserved)</t>
  </si>
  <si>
    <t>Vignes, A. Joe; Hall, Richard C.</t>
  </si>
  <si>
    <t>Adjustment of a group of Vietnamese people to the United States</t>
  </si>
  <si>
    <t>10.1176/ajp.1979.136.4a.442</t>
  </si>
  <si>
    <t>http://search.ebscohost.com.proxy-ub.rug.nl/login.aspx?direct=true&amp;db=psyh&amp;AN=1979-25861-001&amp;site=ehost-live&amp;scope=site</t>
  </si>
  <si>
    <t>Reports data obtained from 50 Vietnamese families living in Baton Rouge, Louisiana, by individual and group interview questionnaires. Interviews of all of the Vietnamese people who came to the local community mental health center were conducted, and the records of the center and other local social agencies were studied for sociodemographic data. A number of specific sociological stresses encountered by Vietnamese refugees were identified, but it is concluded that, basically, these people are adjusting well without losing their cultural identity. (1 ref) (PsycINFO Database Record (c) 2016 APA, all rights reserved)</t>
  </si>
  <si>
    <t>Lin, Keh-ming; Masuda, Minoru; Tazuma, Laurie</t>
  </si>
  <si>
    <t>Problems of Eastern refugees and immigrants: Adaptational problems of Vietnamese refugees: IV</t>
  </si>
  <si>
    <t>Psychiatric Journal of the University of Ottawa</t>
  </si>
  <si>
    <t>0702-8466</t>
  </si>
  <si>
    <t>http://search.ebscohost.com.proxy-ub.rug.nl/login.aspx?direct=true&amp;db=psyh&amp;AN=1985-12109-001&amp;site=ehost-live&amp;scope=site</t>
  </si>
  <si>
    <t>Reports the longitudinal trend in life change, adaptation, and health status of 282 Vietnamese refugees over a 3-yr period. Instruments included the Cornell Medical Index (CMI), Social Readjustment Rating Scale, and Schedule of Recent Life Events. Ss continued to make substantial progress, which was reflected in the reduction of unemployment and improvement in transportation and housing condition. However, the degree of life change continued to be about 3 times higher than the pre-refugee scores, and CMI scores remained highly elevated all through the 3 study phases, with about half of the Ss having scores higher than the cut-off points suggestive of emotional difficulties. CMI scores were significantly correlated with total life change score and financial, personal, and family subscores. CMI scores were also significantly correlated to age by sex interactions, marital status, religion, previous refugee experience, mother's death, welfare status, ability to drive, and pessimistic feeling about the future, but not to education and employment. Life events, particularly those in the areas of finance, personal situation, and family, continued to affect the Ss, resulting in persistent dysfunction in their health and adaptation. Factors further aggravating these impacts are also identified. (56 ref) (PsycINFO Database Record (c) 2016 APA, all rights reserved)</t>
  </si>
  <si>
    <t>The Mental Health of Chinese Immigrants in Birmingham, UK</t>
  </si>
  <si>
    <t>Moghaddam, Fathali M.; Taylor, Donald M.; Lalonde, Richard N.</t>
  </si>
  <si>
    <t>Individualistic and collective integration strategies among Iranians in Canada</t>
  </si>
  <si>
    <t>http://search.ebscohost.com.proxy-ub.rug.nl/login.aspx?direct=true&amp;db=psyh&amp;AN=1989-01192-001&amp;site=ehost-live&amp;scope=site</t>
  </si>
  <si>
    <t>81 Iranian immigrants to Canada completed a questionnaire containing demographics, heritage culture maintenance, mobility strategies, perceived justice, self-perceptions, and community contacts. Different patterns of responses were found for Ss who chose an assimilationist option as opposed to a heritage culture maintenance option, with respect to commitment to Iranian cultural organizations, community contacts, social mobility strategies, and perceived justice. However, differences were not found on self-perceptions of group membership or perceptions of personal ability. (French abstract) (PsycINFO Database Record (c) 2016 APA, all rights reserved)</t>
  </si>
  <si>
    <t>AyÃ§iÃ§egi-Dinn, Ayse; Caldwell-Harris, Catherine L.</t>
  </si>
  <si>
    <t>Individualismâ€“collectivism among Americans, Turks and Turkish immigrants to the US</t>
  </si>
  <si>
    <t>Whether immigrants to the U.S. from collectivist cultures will adopt American individualist values is an important question at the intersection of theories on acculturation and individualism/collectivism. According to the assimilation hypothesis, Turkish immigrants to the U.S. should become more individualistic with increasing length of stay. Alternatively, the immigrant interdependence hypothesis proposes that the exigencies of immigration require retaining or increasing collectivist values and behaviors, especially the willingness to rely on others. Measures of individualism and collectivism were obtained from Turkish immigrants to the U.S., Turks residing in Istanbul, and residents of Boston. Bostonians and Istanbul residents differed primarily on vertical collectivism, which is the tendency to subordinate ones own goals to those of in-group authority figures. Immigrantsâ€™ values did not change with increasing length of stay in the U.S., refuting the assimilation hypothesis. When immigrants were compared to non-immigrants, immigrants endorsed stronger horizontal and vertical collectivism and more desire to both give and receive, consistent with the immigrant interdependence hypothesis. However, this hypothesis was not uniformly supported. Compared to non-immigrants, immigrants reported more self-reliance with competition, and more internal locus of control, indicating a sense of agency and responsibility. Findings are consistent with the view that immigrants adjust in complex ways to their new society, and may have different temperaments than non-immigrants. (PsycINFO Database Record (c) 2016 APA, all rights reserved)</t>
  </si>
  <si>
    <t>West African immigrants' attitudes toward seeking psychological help</t>
  </si>
  <si>
    <t>Research is needed to better understand the impact of migration on West African immigrantsâ€˜ mental health and their ability and willingness to seek traditional Western care. Therefore, the present quantitative study investigated the variance in attitudes toward seeking psychological help as predicted by degree of acculturation, severity of self-reported problems, and beliefs about the cause of mental health problems among West African immigrants in the U.S. The following research questions and hypothesis were addressed: What are the specific mental and physical health concerns of West African immigrants in the U.S.? Where do West African immigrants with mental health problems seek help? The hypothesis was that higher acculturation into the U.S. society, severity of self-reported problems, and interactional attribution beliefs about mental health problems would be significant predictors of attitudes toward seeking psychological help. Approximately 600 questionnaires were mailed to first generation West African immigrants. A total of 126 surveys were received representing a return rate of 21%. Of this number 15 were not usable. Analyses were based on the remaining 111 surveys. Each survey packet included a demographic questionnaire, a referral list for national mental health, counseling and crisis services, a business reply envelope, and a battery of 4 instruments including the Attitude Toward Seeking Professional Psychological Help Scale (ATSPPH), Behavioral Acculturation Scale (BAS), Brief Symptoms Inventory (BSI), and the Mental Health Locus of Origin Scale (MHLO). Descriptive statistics were computed (percentages &amp; frequencies) to answer the first and second research questions. In addition, one multiple regression, using forced entry method was performed to predict West African immigrantsâ€˜ attitudes toward seeking psychological help as measured by the total scores on the ATSPPH, using the BAS, BSI, and MHLO scores as predictors. Finally, Pearson product moment correlation analyses were performed among the variables in examining the regression results. The results identified interactional attribution beliefs about mental health problems as the only significant predictor. West African immigrants reported various concerns with their mental and physical health. In general, they reported preference for the use of informal systems of support to resolve their emotional concerns and the use of medical doctors for physical concerns. (PsycINFO Database Record (c) 2016 APA, all rights reserved)</t>
  </si>
  <si>
    <t>The influence of length of stay, linguistic competence, and media exposure in immigrants' adaptation</t>
  </si>
  <si>
    <t>Predictors of sociocultural adjustment among sojourning Malaysian students in Britain</t>
  </si>
  <si>
    <t>Ataca, Bilge; Berry, John W.</t>
  </si>
  <si>
    <t>Psychological, sociocultural, and marital adaptation of Turkish immigrant couples in Canada</t>
  </si>
  <si>
    <t>10.1080/00207590143000135</t>
  </si>
  <si>
    <t>http://search.ebscohost.com.proxy-ub.rug.nl/login.aspx?direct=true&amp;db=psyh&amp;AN=2002-02248-002&amp;site=ehost-live&amp;scope=site</t>
  </si>
  <si>
    <t>Examined acculturation and adaptation of 200 married Turkish immigrants (aged 19-73 yrs) in Toronto, Canada, using self-report questionnaires. As an extension of research from sojourners to immigrants and from individuals to married couples, marital adaptation was introduced and 3 facets of adaptation were differentiated: psychological, sociocultural, and marital. Findings support the contention that adaptation is multifaceted. Consistent with stress and coping models, psychological adaptation was associated with the personality variable of hardiness, social support, acculturation attitudes, and discrimination. However, in line with social learning perspectives, sociocultural adaptation was mostly related to variables instrumental in acquiring social skills in the new culture, namely, language proficiency and contact with members of the dominant group. Marital adaptation was mostly associated with marital stressors and marital support. The lack of research on gender differences in the differentiation of adaptation was addressed. The effects of socioeconomic status and gender have also been examined. Results show that Turkish immigrants did not acculturate uniformly: 2 groups, working class and professionals, were clearly distinguished in acculturation experiences and adaptation. (PsycINFO Database Record (c) 2016 APA, all rights reserved)</t>
  </si>
  <si>
    <t>Factors associated with depression experience of immigrant populations: A study of Korean immigrants</t>
  </si>
  <si>
    <t>0883-9417</t>
  </si>
  <si>
    <t>Usefulness of psychosocial theory variables in explaining fat-related dietary behavior in Chinese Americans: Association with degree of acculturation</t>
  </si>
  <si>
    <t>0022-3182</t>
  </si>
  <si>
    <t>Marital stability among Jewish and mixed couples following immigration to Israel from the former Soviet Union</t>
  </si>
  <si>
    <t>This research aims to identify factors associated with marital instability among Jewish and mixed (Jewish and non-Jewish) couples following immigration from the former Soviet Union. Based on the Strangeness Theory and the Model of Acculturation, we predicted that non-Jewish immigrants would be less well adjusted personally and socially to Israeli society than Jewish immigrants and that endogamous Jewish couples would have better interpersonal congruence than mixed couples in terms of personal and social adjustment. The sample included 92 Jewish couples and 92 ethnically-mixed couples, of which 82 couples (40 Jewish, 42 mixed) divorced or separated after immigration and 102 couples (52 Jewish, 50 ethnically mixed) remained married. Significant differences were found between Jewish and non-Jewish immigrants in personal adjustment, and between endogamous and ethnically-mixed couples in the congruence between spouses in their personal and social adjustment. Marital instability was best explained by interpersonal disparity in cultural identity and in adjustment to life in Israel. The findings expand the knowledge on marital outcomes of immigration, in general, and immigration of mixed marriages, in particular. (PsycINFO Database Record (c) 2016 APA, all rights reserved)</t>
  </si>
  <si>
    <t>Factors affecting intention to access psychological services amongst British Muslims of South Asian origin</t>
  </si>
  <si>
    <t>1367-4676</t>
  </si>
  <si>
    <t>Depression among elderly Korean immigrants: Exploring socio-cultural factors</t>
  </si>
  <si>
    <t>Cultural identity and adaptation in an assimilative setting: Immigrant soldiers from the former Soviet Union in Israel</t>
  </si>
  <si>
    <t>In this study, the military served as a specific arena for the contextual examination of the relationship between immigrants' cultural identity and adjustment. Our investigation was grounded in the recent literature suggesting that cultural identity, adaptation, and the relationship between them are affected by contextual factors. We see the military in general, and the Israeli army in particular, as a highly assimilative context. We therefore predicted that national identity would significantly promote immigrant's adaptation. Three hundred and sixty-five young soldiers who had recently immigrated from the former Soviet Union and serving their compulsory military service in the Israeli Defense Forces, completed anonymous questionnaires. Our findings revealed that national identity was indeed positively related to adjustment, especially adjustment to the military setting. In contrast, ethnic identity was not correlated with adjustment. When classified into acculturation categories, according to Berry's bi-dimensional model, individuals in both the 'marginalization' and the 'separation' groups exhibited low levels of adaptation. Common to these two strategies is the rejection of host culture. Three factors--language abilities, sources of cohesion and goals in service--were examined as possible mediators for the effects of national identity on the immigrants' adjustment to military service. National identity was shown to affect adaptation partially through sources of cohesion and goals in service. Theoretical and practical implications are discussed. (PsycINFO Database Record (c) 2016 APA, all rights reserved)</t>
  </si>
  <si>
    <t>Correlates of sense of control among older Korean-American immigrants: Financial status, physical health constraints, and environmental challenges</t>
  </si>
  <si>
    <t>0091-4150</t>
  </si>
  <si>
    <t>McCaffrey, Ruth</t>
  </si>
  <si>
    <t>The lived experience of Haitian older adults' integration into a senior center in Southeast Florida</t>
  </si>
  <si>
    <t>10.1177/1043659607309139</t>
  </si>
  <si>
    <t>http://search.ebscohost.com.proxy-ub.rug.nl/login.aspx?direct=true&amp;db=psyh&amp;AN=2007-20000-004&amp;site=ehost-live&amp;scope=site</t>
  </si>
  <si>
    <t>A phenomenological design using interviews of 16 Haitian older adults was undertaken to better understand the lived experience of older Haitians as they integrated into an established senior center. Responses to the questions were recorded and transcribed. Two themes emerged: (a) a feeling of being accepted into a new community and (b) hope for a good life in their new homeland. Although older adults who are recent immigrants have a harder time assimilating into a new culture than younger persons, programs can be developed to make this transition easier. (PsycINFO Database Record (c) 2016 APA, all rights reserved)</t>
  </si>
  <si>
    <t>Residency in the United States, Subjective Well-Being, and Depression in an Older Mexican-Origin Sample</t>
  </si>
  <si>
    <t>0898-2643</t>
  </si>
  <si>
    <t>Immigration, unemployment and career counseling: A multicultural perspective</t>
  </si>
  <si>
    <t>978-1-84844-095-1</t>
  </si>
  <si>
    <t>The purpose of this chapter is to present a range of issues relevant to career development of immigrants. It begins with concepts and issues within the field of acculturation together with a presentation of basic needs and health problems of immigrants. This is followed by the unemployment of immigrants as a risk factor for adaptation to the new situation. The subsequent section includes theories about career development and counseling of diverse cultural groups, followed by a section that reviews research findings on career development of immigrant groups in Greece and presents a comparative study about some psychological aspects of work-related behavior and the experiences of unemployed Pontic remigrants and native Greeks in comparison with employed coethnics. The final section is concerned with a model of career development, drawing upon both theory and empirical findings to address issues that may arise in plural societies as a result of immigration. (PsycINFO Database Record (c) 2019 APA, all rights reserved)</t>
  </si>
  <si>
    <t>The relationship of religious self-identification to cultural adaptation among Iranian immigrants and first generation Iranians</t>
  </si>
  <si>
    <t>Individual and Cultural Gender Roles: A Comparison of Anglo-Australians and Chinese in Australia</t>
  </si>
  <si>
    <t>1088-7423</t>
  </si>
  <si>
    <t>Myth and Reality: Tobacco Use in the Asian American Community</t>
  </si>
  <si>
    <t>1-59454-459-X</t>
  </si>
  <si>
    <t>As one of the fastest growing ethnic/racial groups in the U.S., new immigrant Asian American populations have been suffering disproportionately from tobacco related health problems. The present study examined tobacco use; secondhand smoke exposure and related knowledge; attitudes and behaviors among Asian Americans in the Delaware Valley of Pennsylvania and New Jersey; and the relationship between acculturation and smoking, social influence patterns on smoking, and stages of change of smoking among Asian subgroups. A cross-sectional research design with stratified-cluster proportional sampling technique was used. A multi-lingual questionnaire was developed, back-translated, and pilot-tested for reliability and validity. Study sample was 1174 Chinese, Koreans, Vietnamese, Cambodians, and other Asians. Findings revealed mean age of initiation to be 18.3, 40% ever and 30% current users. Significant differences were reflected in smoking by gender, ethnicity, educational level, and marital and employment status. Males were more likely to be smokers. While knowledge and attitudes about smoking and secondhand smoke were associated with these variables, ethnic pride and smoking status played significant roles. Results indicated that while fathers and brothers had greater social influence on young male smoking behavior, smoking friends had influence on both genders. Additionally, both stages of change of smoking and acculturation impact on smoking varied with gender, age, and time living in U.S. Findings provide comprehensive insights into tobacco use among Asian Americans that reflect the need for developing culturally appropriate programs for this population. (PsycINFO Database Record (c) 2016 APA, all rights reserved)</t>
  </si>
  <si>
    <t>Markovitzky, Gila; Mosek, Atalia</t>
  </si>
  <si>
    <t>The role of symbolic resources in coping with immigration</t>
  </si>
  <si>
    <t>10.1300/J051v14n01_07</t>
  </si>
  <si>
    <t>http://search.ebscohost.com.proxy-ub.rug.nl/login.aspx?direct=true&amp;db=psyh&amp;AN=2006-05764-007&amp;site=ehost-live&amp;scope=site</t>
  </si>
  <si>
    <t>The process of separation from one's homeland includes the loss of internal representations or symbolic resources, such as music, landscape, literature, and climate. These symbolic resources express one's ideas, identities, roles, and relations to each other, and contribute to the psychological reactions associated with one's adaptation to the new country. The present study examined the psychological adjustment of 395 new immigrants to Israel from the former Soviet Union using a cross-sectional design. Results showed that the longer an immigrant stays in Israel, the greater the sense of loss of spiritual symbolic resources. It was also found that the greater the loss, the poorer the psychological adjustment. A significant correlation was found between three categories of symbolic resources (spiritual, physical, and social) and psychological adjustment to the new environment. The significance of the findings for immigrants' welfare and acculturation is discussed in light of past and present immigration policies in Israel. (PsycINFO Database Record (c) 2016 APA, all rights reserved)</t>
  </si>
  <si>
    <t>Language dominance and culture dominance: L2 acquisition, L1 maintenance, and culture identification among Russian immigrants in the US</t>
  </si>
  <si>
    <t>This dissertation investigated the extent of L2 (English) acquisition and L1 (Russian) maintenance of two age groups of Russian immigrants in the US and examined the relationship between participantsâ€™ current language dominance and culture dominance. The study also aimed at enhancing theoretical knowledge about the methodology of assessing language and culture dominance and at establishing which of the measures used here (self-reports of language proficiency, three lexical fluency tests, writing tasks, and a culture questionnaire) are the most accurate and practical for determining the more dominant language and culture. In addition to quantitative data, interviews provided insights into the participants' views and opinions on their language and culture and were used to supplement the statistical results with personal comments. The results indicate a surprisingly high level of first language and culture maintenance in the younger group together with highly successful L2 acquisition and acculturation, marking this group as rather balanced bilingually and bi-culturally. The older participants, on the other hand, clearly maintain dominance in both Russian language and Russian culture. Significant correlations established between different language proficiency measures carry methodological importance for future studies. (PsycINFO Database Record (c) 2016 APA, all rights reserved)</t>
  </si>
  <si>
    <t>Roh, Soonhee; Jang, Yuri; Chiriboga, David A.; Kwag, Kyung Hwa; Cho, Sunhee; Bernstein, Kunsook</t>
  </si>
  <si>
    <t>Perceived neighborhood environment affecting physical and mental health: A study with Korean American older adults in New York City</t>
  </si>
  <si>
    <t>10.1007/s10903-011-9492-3</t>
  </si>
  <si>
    <t>http://search.ebscohost.com.proxy-ub.rug.nl/login.aspx?direct=true&amp;db=psyh&amp;AN=2011-25096-005&amp;site=ehost-live&amp;scope=site</t>
  </si>
  <si>
    <t>This study examined how subjective perceptions of the neighborhood environment (e.g., perceived ethnic density, safety, social cohesion, and satisfaction) influenced the physical and mental health of Korean American older adults. Using data from 420 residents of the New York City metropolitan area (Mage = 71.6, SD = 7.59), health perceptions and depressive symptoms were estimated with hierarchical regression models entered in the order of (1) demographics and acculturation, (2) health-related variables, and (3) perceived neighborhood environment. After controlling for the effects of the individual-level variables, perceived neighborhood environment was found to make a significant contribution to both outcomes. Individuals less satisfied with their overall neighborhood environment were more likely to have negative perceptions of health and depressive symptoms. A strong linkage between perceived neighborhood safety and depressive symptoms was also observed. Findings from the study highlight the importance of subjective evaluations of neighborhood environment and provide implications for health promotion. (PsycINFO Database Record (c) 2016 APA, all rights reserved)</t>
  </si>
  <si>
    <t>Mjelde-Mossey, Lee Ann; Chi, Iris; Lou, Vivian W. Q.</t>
  </si>
  <si>
    <t>Assessing tradition in Chinese elders living in a changing social environment: Implications for social work practice</t>
  </si>
  <si>
    <t>1091-1359</t>
  </si>
  <si>
    <t>10.1300/J137v11n03_03</t>
  </si>
  <si>
    <t>http://search.ebscohost.com.proxy-ub.rug.nl/login.aspx?direct=true&amp;db=psyh&amp;AN=2005-16196-003&amp;site=ehost-live&amp;scope=site</t>
  </si>
  <si>
    <t>Social workers are increasingly challenged to provide culturally sensitive services to older immigrants from diverse backgrounds. Assessment tools developed in the elder's own cultural context can maximize appropriate assessment and planning. This article describes the development of a tool for measuring adherence to tradition in Chinese elders. In Chinese tradition, an elder's purpose, meaning, and self-worth are derived, in large part, from their contribution to family, relatives, and the community. Existing measures of filial piety and acculturation do not capture this dimension. Filial piety involves being on the receiving end of care, honor, and obedience from younger generations. Acculturation is the opposite of adherence to tradition. One thousand five-hundred and two Chinese elders in China were asked questions on mutual aid and intergenerational exchange. Factor analysis extracted nine items loading into two factors reflective of traditional exchange. This measure could prove useful in understanding the effect of traditional beliefs upon various psychosocial outcomes. (PsycINFO Database Record (c) 2016 APA, all rights reserved)</t>
  </si>
  <si>
    <t>Ngo, Paul Y. L.; Malz, Tari A.</t>
  </si>
  <si>
    <t>Cross-cultural and cross-generational differences in Asian Americans' cultural and familial systems and their impact on academic striving</t>
  </si>
  <si>
    <t>not acculturation</t>
  </si>
  <si>
    <t>Resiliency in Native American and immigrant families.</t>
  </si>
  <si>
    <t>0-7619-1398-X</t>
  </si>
  <si>
    <t>http://search.ebscohost.com.proxy-ub.rug.nl/login.aspx?direct=true&amp;db=psyh&amp;AN=1998-06624-013&amp;site=ehost-live&amp;scope=site</t>
  </si>
  <si>
    <t>Examined the contribution of Asian American college students' ethnic heritage on the quality of their educational life in the US. The influence of familiar and cultural factors on their attributions and beliefs concerning academic achievement was focused on, as the authors hypothesized that some of these factors might represent aspects of Asian culture that are conducive to academic success within a Western society. The ramifications of maintaining a sense of ethnic identity were also investigated by examining students' attributions and aspirations in relation to their self-perceptions. Cross cultural commonalities and differences among the belief systems of 86 Asian American college students were assessed through questionnaires to ascertain the contribution of such beliefs on reported similarities and differences in academic performance across groups (Chinese, Hmong, Japanese, and Vietnamese). Cross generational differences were examined to assess the impact of acculturation to life in a Western culture on Eastern-influenced attributions and to determine whether some of these attributions might be sustainable within the US. (PsycINFO Database Record (c) 2016 APA, all rights reserved)</t>
  </si>
  <si>
    <t>Further examining the role motivation to study abroad plays in the adaptation of international students in Canada</t>
  </si>
  <si>
    <t>Reyes, Jose Roberto</t>
  </si>
  <si>
    <t>Machismo, marianismo and marital adjustment among Mexican immigrants and Mexican American couples</t>
  </si>
  <si>
    <t>http://search.ebscohost.com.proxy-ub.rug.nl/login.aspx?direct=true&amp;db=psyh&amp;AN=1995-95021-492&amp;site=ehost-live&amp;scope=site</t>
  </si>
  <si>
    <t>This study examines the relationship between perception of gender identity (machismo and marianismo) and its impact on marital adjustment among Mexican immigrants and Mexican American couples. The variables were operationalized by using Lara Cantu's Masculinity and Femininity Inventory, the Dyadic Adjustment Scale, and the Cultural Lifestyle Inventory. The sample consisted of 34 Spanish-speaking and 24 English-speaking couples. The results show that the husbands' level of affective femininity was predictive of the wives' level of dyadic adjustment. The wives' level of dyadic adjustment contributed more to the couples' overall level of dyadic adjustment than did the husbands. Negative behavior traits such as aggressive masculinity or submissive femininity did not yield significant results as predicted cultural stereotypes. In regards to acculturation, significant correlations were found between cultural lifestyle and dyadic adjustment. The relationship between gender identity and dyadic adjustment remain significant even when both cultural resistance (adherence to traditional culture) and cultural shift (assimilation to host culture) partialled out. As a result, no significant differences were found regarding gender identity and dyadic adjustment among participating couples. Finally, a Contextual-Ecological framework that examines both cognitive and socio-structural elements is proposed in the interpretation of the results. (PsycINFO Database Record (c) 2016 APA, all rights reserved)</t>
  </si>
  <si>
    <t>Harr, Cynthia Rae Bens</t>
  </si>
  <si>
    <t>The adaptation of migrants in transference from country of origin to Brazil</t>
  </si>
  <si>
    <t>http://search.ebscohost.com.proxy-ub.rug.nl/login.aspx?direct=true&amp;db=psyh&amp;AN=2000-95001-088&amp;site=ehost-live&amp;scope=site</t>
  </si>
  <si>
    <t>This study investigated the factors that influenced the adaptation of migrants to the country of Brazil. The review of the literature, as well as a qualitative study conducted by the author in the country of Brazil, indicated that education, gender, age at migration, length of time in the country, documentation, familial support, social support, employment/economic status, language, physical health, mental health, and acculturation are related directly or indirectly to the adaptation of migrants. These elements formed the hypothesized structural equation model that was tested using EQS for Windows. The survey research was conducted in several major cities and their surrounding rural areas in various regions of Brazil. A combination availability/snowball sample was used with 410 participants. Migrants from 51 countries of origin, who migrated after the age of 18, were included in the study. The survey instrument used was translated from English into Portuguese, Spanish, Japanese and Arabic with the participants choosing the survey used. While the results did not support the hypothesized model, the variables and factors in the model were found to have significant influence in the adaptation or life satisfaction of the migrant participants. The recognition by social scientists that migration has become an increasing global phenomenon, demonstrates the need to expand investigative research to include studies in the continents of Africa and South America. This study examined the relationships of several factors influencing migrant adaptation, and also provides an opportunity to compare results with those found in research conducted in other cultures. (PsycINFO Database Record (c) 2016 APA, all rights reserved)</t>
  </si>
  <si>
    <t>Hong, Oksoo Kim</t>
  </si>
  <si>
    <t>Antecedents and health-related consequences of loneliness in older Korean immigrants</t>
  </si>
  <si>
    <t>http://search.ebscohost.com.proxy-ub.rug.nl/login.aspx?direct=true&amp;db=psyh&amp;AN=1997-95008-458&amp;site=ehost-live&amp;scope=site</t>
  </si>
  <si>
    <t>The purpose of this study was to investigate antecedents and health-related consequences of loneliness in older Korean immigrants. Descriptive correlational cross-sectional design was used. The sample consisted of 174 community-dwelling older Korean immigrants who lived in a Midwestern city. Telephone interviews were used to collect data using the Korean version Revised UCLA Loneliness Scale, Background and Situational Form, 5-item IADL, Ethnic Attachment Questionnaire, Revised Social Support Questionnaire, Health Risk Behavior Form, and Health Perception Form. Results indicated that older Koreans were more lonely than studies of older Caucasians. Ethnic attachment was the best predictive variable of loneliness and of both emotional and tangible social support. Ethnic attachment, living with spouse, and transportation availability had both direct effects on loneliness and indirect effects on loneliness through social support variables. The relationship between loneliness and age, marital status, English fluency, transportation availability, and living with children differed depending upon the level of social support variables. The only mediation effect of loneliness was between life satisfaction and both emotional and tangible social network size and satisfaction. Loneliness predicted life satisfaction, over-the-counter drug usage, and perceived physical health. Smoking had a significant negative relationship with life satisfaction. (PsycINFO Database Record (c) 2016 APA, all rights reserved)</t>
  </si>
  <si>
    <t>Sasidharan, Vinod</t>
  </si>
  <si>
    <t>The urban recreation experience: An examination of multicultural differences in park and forest visitation characteristics</t>
  </si>
  <si>
    <t>http://search.ebscohost.com.proxy-ub.rug.nl/login.aspx?direct=true&amp;db=psyh&amp;AN=2002-95001-117&amp;site=ehost-live&amp;scope=site</t>
  </si>
  <si>
    <t>The ethnic minority population of the U.S. continues to increase due to rising minority birth rates coupled with the influx of ethnic immigrants to America's cities, suburbs and towns. Current demographic trends indicate population growth for racial and ethnic minority groups is increasing considerably faster than the rate for the U.S. population as a whole. As part of a long-term plan for meeting public needs and building healthy urban parks and recreation services, it is important to assess and address the perceptions, values and needs of our nation's growing multi-cultural, diverse ethnic minority populations with respect to urban parks and forests and their management. Existing research has been inadequate in explaining how the recreational users' ethnic and sociocultural background affects their recreational experiences. This knowledge gap hinders a manager's ability to provide a high quality recreation experience for his/her recreation resource users by meeting their needs while managing the natural resources for recreational purposes. The purpose of this study was to examine differences in outdoor recreation characteristics, relevant to urban parks and forests, both across and within selected population subgroups. Specifically, this study examined inter-ethnic variations in outdoor recreation characteristics across various population subgroups, the influence of acculturation on intra-ethnic variability in outdoor recreation characteristics within ethnic subgroups, and acculturation-related patterns of variations in outdoor recreation characteristics of ethnic subgroups in comparison with the Anglo or White population. Household members belonging to five ethnic population subgroups-Hispanic/Latino or Hispanic American, Chinese or Chinese American, Japanese or Japanese American, Korean or Korean American, African American, and members of Anglo or White households residing in and around two greater metropolitan centers, namely Philadelphia, PA and Atlanta, GA were surveyed using Dillman's Tailored Design Approach. The survey instrument utilized by this study was a self-administered mail questionnaire in which subjects were asked about their park and forest-related outdoor recreation preferences, participation patterns, and activities. Owing to the existing inadequacy of explanations for ethnic differences in outdoor recreation patterns from broader sociopsychological perspectives, further theory-based research endeavors need to be undertaken to unravel reasons for such ethnic differences and/or similarities. Thus, the influence of cultural values and levels of acculturation on ethnic individuals' outdoor recreation participation patterns and preferences warrants in-depth examination in future research. (Abstract shortened by UMI.) (PsycINFO Database Record (c) 2016 APA, all rights reserved)</t>
  </si>
  <si>
    <t>Friedman, Anita</t>
  </si>
  <si>
    <t>The Soviet Jewish Emigre/American One-to-One Matching Program: An assessment</t>
  </si>
  <si>
    <t>http://search.ebscohost.com.proxy-ub.rug.nl/login.aspx?direct=true&amp;db=psyh&amp;AN=1995-95010-076&amp;site=ehost-live&amp;scope=site</t>
  </si>
  <si>
    <t>This study was implemented to assess the outcomes of the Soviet Jewish Emigre/American One-to-One Matching Program and to study the status of emigres who arrived in the San Francisco Bay Area from January of 1990 through March of 1993 (N = 634). Survey research methods were used employing researcher-designed questionnaires in both English and Russian. Results indicated that the One-to-One Matching Program achieved its objectives of assisting emigres to learn English, facilitating their adjustment to American life, and increasing their knowledge of and involvement in American Jewish culture and community. In addition, the study results indicated that emigre respondents over time are increasingly successful economically, satisfied with their new lives, acculturated to America and involved in Jewish activities. Study implications underscore the importance of new language acquisition for refugees and immigrants and the value of interpersonal cross-cultural contact between emigres and members of the indigenous culture in achieving successful resettlement. In addition, study results highlight the importance of the attitude of the host community in facilitating adjustment to a new culture. With regard to Jewish identification and involvement, study results suggest that initial resettlement assistance and Jewish acculturation are inseparable processes, and how emigres are initially treated may increase or discourage their Jewish identification to varying degrees. (PsycINFO Database Record (c) 2016 APA, all rights reserved)</t>
  </si>
  <si>
    <t>Masuda, Minoru; Lin, Keh-Ming; Tazuma, Laurie</t>
  </si>
  <si>
    <t>Adaptation problems of Vietnamese refugees: II Life changes and perception of life events</t>
  </si>
  <si>
    <t>Archives of General Psychiatry</t>
  </si>
  <si>
    <t>0003-990X</t>
  </si>
  <si>
    <t>10.1001/archpsyc.1980.01780170089010</t>
  </si>
  <si>
    <t>http://search.ebscohost.com.proxy-ub.rug.nl/login.aspx?direct=true&amp;db=psyh&amp;AN=1981-10278-001&amp;site=ehost-live&amp;scope=site</t>
  </si>
  <si>
    <t>Documents Vietnamese perceptions of life events as well as the occurrences of these life events. Questionnaires (Cornell Medical Index, Social Readjustment Rating Scale) were administered to 239 Vietnamese refugees to the US in 1975 and 1976 as part of an ongoing study. The expected high amount of life change in the year of the evacuation and resettlement (1975) continued into the following year (1976). Financial, life-style, work, spouse, and schooling problems continued to plague them and were increased in the 2nd yr. There was a positive correlation between life change and health status. The Vietnamese rank ordered the impact of life events in a fashion similar to Americans, but there were differences in mean magnitude estimations. Substantial reductions in magnitude estimations at 2nd administration of the Social Readjustment Rating Scale indicated a change in the situational perception set with time. (41 ref) (PsycINFO Database Record (c) 2016 APA, all rights reserved)</t>
  </si>
  <si>
    <t>Kang, Byung Moon</t>
  </si>
  <si>
    <t>The relationship between differentiation of self and values in Korean immigrant church members in Los Angeles (California)</t>
  </si>
  <si>
    <t>http://search.ebscohost.com.proxy-ub.rug.nl/login.aspx?direct=true&amp;db=psyh&amp;AN=2000-95019-063&amp;site=ehost-live&amp;scope=site</t>
  </si>
  <si>
    <t>The purpose of this dissertation is to understand Korean-American family relationships and identity in the context of the social pressures of immigration and acculturation. The study addresses the relationship between the degree of differentiation of self, as measured at the intergenerational level and individual level, and values in Korean immigrant church members as major variables. Church members in about twenty one churches from various denominations received questionnaires in their Korean-American church adult meetings, in which people speak Korean fluently and can also speak English somewhat. 121 bilingual questionnaires were used in the final analysis. Among major variables are the Level of Differentiation of Self (LDSS), Personal Authority in Family System Questionnaire (PAFS-Q), Value survey, and Family Member Emotional Well-being Index (FMWI). Minor variables are demographic ones like age, income, job, etc. Pearson Product-Moment Correlation was made between major variables. Multiple regression analysis was done between major variables and all other variables. The study results show that PAFS-Q scores reveal hierarchical Confucian family relationships in the first generation. Though the correlational study, mental health (LDSS) does not depend on the duration of stay in America, but on the degree of English language fluency. A marital relationship (SF) was greatly affected by the job stress. Value survey says that there are discrepancies in value structures between the younger and older generations. (PsycINFO Database Record (c) 2016 APA, all rights reserved)</t>
  </si>
  <si>
    <t>LeclÃ©zio, M. K.; Louw-Potgieter, J.; Souchon, M. B.</t>
  </si>
  <si>
    <t>The social identity of Mauritian immigrants in South Africa</t>
  </si>
  <si>
    <t>10.1080/00224545.1986.9713571</t>
  </si>
  <si>
    <t>http://search.ebscohost.com.proxy-ub.rug.nl/login.aspx?direct=true&amp;db=psyh&amp;AN=1987-24810-001&amp;site=ehost-live&amp;scope=site</t>
  </si>
  <si>
    <t>Investigated the cognitive content of the social identity of Mauritian immigrants living in South Africa, administering a questionnaire to 82 immigrants (aged 14â€“73 yrs). The influence on social identity of language, number of years in the new country, age on arrival in the new country, and sex was examined. Results show that language, specifically spoken language (French), was the most salient feature of social identity. (PsycINFO Database Record (c) 2016 APA, all rights reserved)</t>
  </si>
  <si>
    <t>Valdes, Thusnelda M.; Baxter, James C.</t>
  </si>
  <si>
    <t>The Social Readjustment Rating Questionnaire: A study of Cuban exiles</t>
  </si>
  <si>
    <t>0022-3999</t>
  </si>
  <si>
    <t>10.1016/0022-3999(76)90026-X</t>
  </si>
  <si>
    <t>http://search.ebscohost.com.proxy-ub.rug.nl/login.aspx?direct=true&amp;db=psyh&amp;AN=1977-08090-001&amp;site=ehost-live&amp;scope=site</t>
  </si>
  <si>
    <t>Administered a revised form of T. H. Holmes and R. H. Rahe's Social Readjustment Rating Scale to 117 Cuban exiles living in the US (Texas). Cross-cultural comparisons were made with Holmes and Rahe's standardization sample of middle- and lower-class Americans. Areas of stress in cultural readjustment to the US are discussed based on the rating results. Overall data show that a separation from the homeland and family and cultural differences in family patterns were judged to be the most difficult life changes in terms of readjustment. (PsycINFO Database Record (c) 2016 APA, all rights reserved)</t>
  </si>
  <si>
    <t>Aycan, Zeynep</t>
  </si>
  <si>
    <t>Impact of employment-related experiences on Turkish immigrants' psychological well-being and adaptation to Canada</t>
  </si>
  <si>
    <t>http://search.ebscohost.com.proxy-ub.rug.nl/login.aspx?direct=true&amp;db=psyh&amp;AN=1997-95014-005&amp;site=ehost-live&amp;scope=site</t>
  </si>
  <si>
    <t>This study examines the factors influencing Turkish immigrants' adaptation to Canada with a specific emphasis on changes experienced in employment patterns. One hundred and ten Turkish immigrants were surveyed through questionnaires. The majority of the participants migrated to Canada within the last ten years. Despite high educational attainments, two-thirds of the sample were either unemployed of underemployed. Inability to integrate fully into the labour force within the first six months in Canada was primarily attributed to the lack of competence in official languages and Canadian work experience, and the difficulty in getting credentials recognized. In time, these barriers seemed to be overcome. In their place, market conditions (e.g., low-paid jobs, inadequate work conditions, economic regression) delayed full integration into the work force. Models that were tested through structural equation modelling (LISREL VIII) revealed that adaptation was affected by both employment-related experiences and psychological well being. Perceived discrimination, acculturation attitudes, sense of coherence, migration motivation, and social networks moderated the relationship among employment-related experiences, psychological well-being and adaptation. (PsycINFO Database Record (c) 2016 APA, all rights reserved)</t>
  </si>
  <si>
    <t>Scholaske, Laura; Rodriguez, Norma; Sari, Nida Emel; Spallek, Jacob; Ziegler, Matthias; Entringer, Sonja</t>
  </si>
  <si>
    <t>The German version of the Multidimensional Acculturative Stress Inventory (MASI) for Turkish-origin immigrants: Measurement invariance of filter questions and validation</t>
  </si>
  <si>
    <t>European Journal of Psychological Assessment</t>
  </si>
  <si>
    <t>1015-5759</t>
  </si>
  <si>
    <t>10.1027/1015-5759/a000567</t>
  </si>
  <si>
    <t>http://search.ebscohost.com.proxy-ub.rug.nl/login.aspx?direct=true&amp;db=psyh&amp;AN=2020-06093-001&amp;site=ehost-live&amp;scope=site</t>
  </si>
  <si>
    <t>The Multidimensional Acculturative Stress Inventory (MASI) is an established measure of acculturative stress for people of Mexican origin living in the USA that has been associated with mental health outcomes in this population. We translated the MASI into German and adapted it for use with Turkish-origin immigrants in Germany. The MASI includes filter questions asking if a potentially stressful event had actually occurred before reporting the stress appraisal of these situations. Measurement invariance testing has become a standard practice to evaluate questionnaire translations, however, measurement invariance of filter questions has been scarcely studied. In Study 1, we evaluated measurement invariance of the filter questions between a German-based Turkish sample (N = 233) and the Mexican-origin sample from the original study (N = 174) and could show partial strong factorial invariance for three of the four factors. In Study 2, a validation study, relations between the German MASI scores and measures of acculturation and stress indicated discriminant validity. This study contributes to research on measurement invariance of filter questions, thereby providing a measure of acculturative stress that can be used in future research to understand the etiology of health disparities in Turkish-origin immigrants in Germany. (PsycINFO Database Record (c) 2020 APA, all rights reserved)</t>
  </si>
  <si>
    <t>not migration</t>
  </si>
  <si>
    <t>Filomeno, Felipe A.</t>
  </si>
  <si>
    <t>The potential of dialogues on social identity and diversity for immigrant civic integration</t>
  </si>
  <si>
    <t>Evaluation and Program Planning</t>
  </si>
  <si>
    <t>0149-7189</t>
  </si>
  <si>
    <t>10.1016/j.evalprogplan.2019.101723</t>
  </si>
  <si>
    <t>http://search.ebscohost.com.proxy-ub.rug.nl/login.aspx?direct=true&amp;db=psyh&amp;AN=2019-65801-001&amp;site=ehost-live&amp;scope=site</t>
  </si>
  <si>
    <t>Local governments have become increasingly important in the governance of immigration. The present study evaluates a local government sponsored dialogue on social identity and diversity aimed at promoting the civic integration of immigrant participants. Based on models for community dialogues across cultural differences and on the literature on immigrant civic integration, the researcher designed, implemented and evaluated the dialogue. The evaluation was based on an exit questionnaire completed by participants, observation notes taken by the researcher, and a follow-up interview with the program coordinator. The evaluation suggests that dialogues among newcomers about social identity and diversity that match most of the ideal conditions for positive intergroup contact stated in the literature likely facilitate immigrant civic integration. Participants reported improved feelings of mutual understanding and inclination to collaborate across cultural differences. The findings also indicate that participants developed a capacity to balance appreciation for cultural differences and group identities with proclivity to collaboration across cultural groups. (PsycINFO Database Record (c) 2019 APA, all rights reserved)</t>
  </si>
  <si>
    <t>not measured</t>
  </si>
  <si>
    <t>Sport participation and acculturative stress of young migrants in Greece: The role of sport motivational environment</t>
  </si>
  <si>
    <t>The purpose of the present study was to examine migrantsâ€™ level of acculturative stress in relation to sport participation, and to investigate the role of the sport motivational environment. Participants were 127 (60 girls) migrant high school students (M = 14.14, SD = 1.46 years of age). Among them, 48 were athletes competing in either team (N = 31) or individual sports (N = 17). All participants completed measures of acculturative stress, while those participating in organized sport additionally completed measures of autonomy supportive and controlling coaching behavior. The results revealed that young migrants who participated in sport showed lower levels of school-related stress and discrimination than those who did not participate in sports. Furthermore, autonomy-supportive coaching behavior was negatively related to acculturative stress, whereas controlling coaching style was positively related to acculturative stress. The results of the present study suggest that sport can serve as a buffer against acculturative stress and highlight the key role of the motivational environment in young athletesâ€™ acculturation experiences. (PsycINFO Database Record (c) 2019 APA, all rights reserved)</t>
  </si>
  <si>
    <t>Welcome or not?â€”Nativesâ€™ security feelings, attachment and attitudes toward acculturation of immigrants</t>
  </si>
  <si>
    <t>not migrant</t>
  </si>
  <si>
    <t>Cultural diversity due to immigration has become a key topic in many societies today. The question of how the native population experiences these developments is of prime importance for intercultural relations and sets the base for acculturation of immigrants. Drawing on attachment and multiculturalism research, we supposed here that general and specific feelings of security might be related to more positive attitudes toward cultural diversity, whereas feelings of threat might be related to less openness. More precisely, the present study investigated how nativesâ€™ general attachment (secure or fearful) as well as their specific feelings of (cultural or economic) security might be related to their expectations about acculturation of immigrants in the multicultural context of Luxembourg. The sample included N = 134 Luxembourg nationals with an average age of M = 45.02 (SD = 17.41) who filled out an online questionnaire. Results revealed that self-reported fearful general attachment was positively related to more unwelcoming acculturation orientations. Relations between general attachment and acculturation orientations were mediated by feelings of cultural security, which had strong effects on host nationalsâ€™ (un)welcoming acculturation orientations over and above general attachment. Findings suggest that (un)welcoming orientations toward immigrants, entailing openness for cultural contact and exchange, are related to feelings of cultural and economic security which are partly biased by a general secure or fearful attachment. Feelings of security seem thus to provide a secure base for tolerance and openness to cultural diversity which are needed in order to deal successfully with the challenges of todayâ€™s multicultural societies. (PsycINFO Database Record (c) 2019 APA, all rights reserved)</t>
  </si>
  <si>
    <t>Calzada, Esther J.; Sales, Adam</t>
  </si>
  <si>
    <t>Depression among Mexican-origin mothers: Exploring the immigrant paradox</t>
  </si>
  <si>
    <t>10.1037/cdp0000214</t>
  </si>
  <si>
    <t>http://search.ebscohost.com.proxy-ub.rug.nl/login.aspx?direct=true&amp;db=psyh&amp;AN=2018-53587-001&amp;site=ehost-live&amp;scope=site</t>
  </si>
  <si>
    <t>Objectives: Residential time in the United States appears to be a risk factor for mental health problems among Latinos, according to studies of the immigrant paradox, or a pattern of findings documenting better health for immigrants relative to U.S.-born Latinos. The present study used an acculturative stress model to examine the immigrant paradox with a sample of Mexican-origin mothers. Method: Mothers [N = 175; age = 33.52 (10.75)], who were foreign- or U.S.-born, were categorized as more acculturated or less acculturated based on cluster analyses using demographic and language proficiency variables. The association between acculturative status and depressive symptoms approximately 9 months later was tested with two models: with both cultural stressors (i.e., perceived discrimination, acculturative stress) and cultural assets (i.e., familismo, ethnic identity) as mediators, and with the effects of cultural stressors moderated by cultural assets. Results: Data provide some support for the validity of the mediation model. Less acculturated mothers reported (a) a stronger ethnic identity, which appears to have protected them from later depression, and (b) stronger familismo, which increased risk for later depression. In addition, discrimination was negatively related to later depression. Conclusions: We found support for the mediating role of cultural assets in the link between acculturation and depression, but some associations were in unexpected directions. These findings highlight the complexities of preserving core cultural characteristics among Mexican-origin mothers living in the United States, and the need to consider the context in which cultural processes unfold. (PsycINFO Database Record (c) 2019 APA, all rights reserved)</t>
  </si>
  <si>
    <t>Personal values and the acceptance of immigrants: Why national identification matters</t>
  </si>
  <si>
    <t>Revista de PsicologÃ­a Social</t>
  </si>
  <si>
    <t>0213-4748</t>
  </si>
  <si>
    <t>The study focused on the relations between Italian nationalsâ€™ personal values and their expectations towards the way ethnic minorities should acculturate. The main aim was to understand whether nationalsâ€™ personal values predict their acculturation preferences towards immigrants, both directly and through national identity. Four hundred and forty-six Italian high school students (Mage = 19.1; SD = 0.57; females = 54.4%) completed a self-administered questionnaire assessing personal values, nationalism, patriotism, acculturation preferences and demographics. An SEM model with bootstrapping estimations was tested. As expected, the results highlighted that personal values predict acculturation preferences towards immigrants in two waysâ€”directly and also through an indirect effect on nationalismâ€”supporting the claim that ingroup and outgroup definitions are closely intertwined. The results also highlighted the need to differentiate between nationalism and patriotism, with the latter having no influence on Italian nationalsâ€™ readiness to accept immigrants. Overall, the research demonstrates the relevance of personal values in studying intergroup relations and draws attention to the potential value of communication policies centred on self-transcendence values to improve interethnic relations. (PsycINFO Database Record (c) 2019 APA, all rights reserved)</t>
  </si>
  <si>
    <t>Counting the cost of Afrophobia: Post-migration adaptation and mental health challenges of African refugees in South Africa</t>
  </si>
  <si>
    <t>There are few studies on the role of migration within sub-Saharan Africa and its relation to the development of mental illness. We investigated post-resettlement adaptation and mental health challenges of African refugees/migrants in Durban, South Africa. We interviewed 335 African help-seeking refugees/migrants for anxiety, depression (25-item Hopkins Symptom Checklist) and post-traumatic stress symptoms (30-item Harvard Trauma Questionnaire). Socio-demographic and migration history, focusing on post-migration circumstances and experiences of discrimination in the host country, were obtained. Association between migration and post-settlement factors and mental health outcomes were assessed using adjusted logistic regression models. Prevalence of mental distress was high: 49.4% anxiety, 54.6% depression and 24.9% post-traumatic stress symptoms. After adjustment for family separation since migration, recent arrival in South Africa was associated with increased risk for depression (aOR = 4.0, 95% CI:1.3â€“11.8) and post-traumatic stress (aOR = 5.2, 95% CI:1.7â€“15.9), while in unadjusted models, older age on arrival was associated with anxiety (aOR = 5.3, 95% CI:1.4â€“19.8) and depression (aOR = 6.2, 95% CI:1.6â€“24.3). History of family separation since migration was independently associated with depression and post-traumatic stress in all models. Discriminatory experiences since migration was also an independent risk factor for all three mental health outcomes. Finally, being divorced/widowed was associated with an increased risk for post-traumatic stress, while higher income earners were protected against post-traumatic symptoms, even after adjustment. Refugees/migrants in South Africa show a significant burden of mental distress that is linked to challenges of adjustment in an often hostile context. Services addressing these and other health-related, social-economic needs should be developed as a priority. (PsycINFO Database Record (c) 2018 APA, all rights reserved)</t>
  </si>
  <si>
    <t>Religious coping and acculturation stress among Hindu Bhutanese: A study of newly-resettled refugees in the United States</t>
  </si>
  <si>
    <t>Jen, K-L. Catherine; Jamil, Hikmet; Zhou, Kequan; Breejen, Karen; Arnetz, Bengt B.</t>
  </si>
  <si>
    <t>Sex differences and predictors of changes in body weight and noncommunicable diseases in a random, newly-arrived group of refugees followed for two years</t>
  </si>
  <si>
    <t>not experience</t>
  </si>
  <si>
    <t>10.1007/s10903-017-0565-9</t>
  </si>
  <si>
    <t>http://search.ebscohost.com.proxy-ub.rug.nl/login.aspx?direct=true&amp;db=psyh&amp;AN=2018-10421-005&amp;site=ehost-live&amp;scope=site</t>
  </si>
  <si>
    <t>[Correction Notice: An Erratum for this article was reported in Vol 20(2) of Journal of Immigrant and Minority Health (see record [rid]2018-10421-006[/rid]). The original version of this article unfortunately contained a mistake in the author group. The co-author name should be Bengt B. Arnetz instead of Bengt B. Arnet. This has been corrected in the original version of the article.] We have reported that none of the psychological/mental variables examined predicted the increase in BMI and non-communicable diseases (NCDs) in Iraqi refugees after 1 year resettlement in Michigan. We continuously followed the same cohort of refugees for 2 years (Y2 FU) to further determine the gender difference in predicting of increased BMI and NCDs. Only 20% of the BMI variability could be accounted for by the factors examined. Number of dependent children and depression were positively and stress negatively associated with BMI in male refugees but not in females. Number of dependent children was negatively associated with changes in BMI and in males only. Two-third of the NCD variability was accounted for by gender, BMI, employment status, depression, posttraumatic stress disorders and coping skills. Unmarried, unemployed and with high PTSD scores at Y2 in males were positively and number of dependent children was negatively associated with NCD changes in females. Factors such as dietary patterns and lifestyle may have contributed to the increased BMI and NCDs in these refugees at 2 years post-settlement. (PsycINFO Database Record (c) 2019 APA, all rights reserved)</t>
  </si>
  <si>
    <t>MÃ¶lsÃ¤, Mulki; Kuittinen, Saija; Tiilikainen, Marja; Honkasalo, Marja-Liisa; PunamÃ¤ki, Raija-Leena</t>
  </si>
  <si>
    <t>Mental health among older refugees: The role of trauma, discrimination, and religiousness</t>
  </si>
  <si>
    <t>Objectives: The aim of this study was to examine, first, how past traumatic stress and present acculturation indices, and discrimination are associated with mental health; and, second, whether religiousness can buffer the mental health from negative impacts of war trauma. Method: Participants were 128 older (50â€“80 years) Somali refugees living in Finland. They reported experiences of war trauma and childhood adversities, and filled-in questionnaires of perceived ethnic discrimination, religiousness (beliefs, attendance, and observance of Islamic faith), and symptoms of posttraumatic stress disorder (PTSD), depressive (BDI-21), psychological distress (GHQ-12), and somatization (SCL-90). Results: Symptom-specific regression models showed that newly arrived refugees with non-permanent legal status and severe exposures to war trauma, childhood adversity, and discrimination endorsed greater PTSD symptoms, while only war trauma and discrimination were associated with depressive symptoms. Results confirmed that high religiousness could play a buffering role among older Somalis, as exposure to severe war trauma was not associated with high levels of PTSD or somatization symptoms among highly religious refugees. Conclusion: Health care should consider both unique past and present vulnerabilities and resources when treating refugees, and everyday discrimination and racism should be regarded as health risks. (PsycINFO Database Record (c) 2019 APA, all rights reserved)</t>
  </si>
  <si>
    <t>The Hispanic Stress Inventory Version 2: Improving the assessment of acculturation stress</t>
  </si>
  <si>
    <t>1040-3590</t>
  </si>
  <si>
    <t>This article reports on a 2-phase study to revise the Hispanic Stress Inventory (HSI; Cervantes, Padilla, &amp; Salgado de Snyder, 1991). The necessity for a revised stress-assessment instrument was determined by demographic and political shifts affecting Latin American immigrants and later-generation Hispanics in the United States in the 2 decades since the development of the HSI. The data for the revision of the HSI (termed the HSI2) was collected at 4 sites: Los Angeles, El Paso, Miami, and Boston, and included 941 immigrants and 575 U.S.-born Hispanics and a diverse population of Hispanic subgroups. The immigrant version of the HSI2 includes 10 stress subscales, whereas the U.S.-born version includes 6 stress subscales. Both versions of the HSI2 are shown to possess satisfactory Cronbachâ€™s alpha reliabilities and demonstrate expert-based content validity, as well as concurrent validity when correlated with subscales of the Brief Symptom Inventory (Derogatis, 1993) and the Patient Health Questionnaire-9 (Kroenke, Spitzer, &amp; Williams, 2001). The new HSI2 instruments are recommended for use by clinicians and researchers interested in assessing psychosocial stress among diverse Hispanic populations of various ethnic subgroups, age groups, and geographic location. (PsycINFO Database Record (c) 2016 APA, all rights reserved)</t>
  </si>
  <si>
    <t>National identification, endorsement of acculturation ideologies and prejudice: The impact of the perceived threat of immigration</t>
  </si>
  <si>
    <t>Do they feel the same way? Health-related quality of life and satisfaction with life in Jewish immigrants from the Former Soviet Union in Germany and Israel</t>
  </si>
  <si>
    <t>Health-seeking behaviors of Filipino migrants in Australia: The influence of persisting acculturative stress and depression</t>
  </si>
  <si>
    <t>Ying, Yu-Wen; Lee, Peter A.; Tsai, Jeanne L.; Lee, Yu J.; Tsang, Malisa</t>
  </si>
  <si>
    <t>Network composition, social integration and sense of coherence in Chinese American young adults</t>
  </si>
  <si>
    <t>10.1300/J137v03n03_07</t>
  </si>
  <si>
    <t>http://search.ebscohost.com.proxy-ub.rug.nl/login.aspx?direct=true&amp;db=psyh&amp;AN=2001-06529-005&amp;site=ehost-live&amp;scope=site</t>
  </si>
  <si>
    <t>Examined network composition, social integration, and sense of coherence in a group of Chinese-American young adults. 353 Chinese-American university students (mean age 20.23 yrs) completed questionnaires regarding sense of coherence and social participation and integration. Results show that 55.5% of Ss possessed a Chinese-only social network, while the remainder possessed ethnically or racially mixed social networks. Those immigrants arriving at age 12+ yrs were more likely to have close relationships with only ethnic Chinese. US-born Ss and immigrants arriving before age 12 yrs were more likely to possess non-Chinese Asian and non-Asian members in their social network. Greater racial and ethnic similarity among social network members was associated with greater social network integration. Those Ss with a racially and ethnically mixed network enjoyed the highest sense of coherence, followed by those with an ethnically same social network. Ss with either a racially same or mixed network reported the lowest sense of coherence. Findings suggest that ethnically similar social networks provide a sense of comfort, but more diverse networks provide increased competence and a better fit with environment. (PsycINFO Database Record (c) 2016 APA, all rights reserved)</t>
  </si>
  <si>
    <t>Tran, Thanh V.</t>
  </si>
  <si>
    <t>Psychological traumas and depression in a sample of Vietnamese people in the United States</t>
  </si>
  <si>
    <t>0360-7283</t>
  </si>
  <si>
    <t>http://search.ebscohost.com.proxy-ub.rug.nl/login.aspx?direct=true&amp;db=psyh&amp;AN=1994-01876-001&amp;site=ehost-live&amp;scope=site</t>
  </si>
  <si>
    <t>Investigated the relationships among premigration stresses, psychological traumas, acculturation stresses, personal efficacy, and depression in a sample of 147 adult Vietnamese Americans, using a structured survey questionnaire. Premigration stresses, nightmares, and acculturation stresses had significant indirect effects on depression. Acculturation stresses diminished personal efficacy; weakness of personal efficacy led to higher depression. Age, gender, marital status, and English language ability also exerted differential effects on premigration stresses, nightmares, acculturation stresses, personal efficacy, and depression. Findings indicate that a strong sense of personal efficacy was associated with fewer symptoms of depression. It is suggested that Vietnamese-refugee Americans may have different needs and problems than other recently arrived groups of refugees or immigrants. (PsycINFO Database Record (c) 2016 APA, all rights reserved)</t>
  </si>
  <si>
    <t>Between two worlds? Value preferences of immigrants compared to local-born populations in the receiving country and in the country of origin</t>
  </si>
  <si>
    <t>In the present study, we investigate value preferences of immigrants, comparing them with local-born populations in the receiving country and in the immigrantsâ€™ country of origin. In addition, we test the effect of time in the receiving country on the value preferences of immigrants. Three groups of respondents took part in the study: Israeli-born Jews (n = 1,082), immigrants from the Former Soviet Union in Israel (n = 237), and Jews living in Russia (n = 935). Differences in value preferences between the groups and their relationship with time in country in the immigrantsâ€™ value preferences were hypothesized on the basis of four psychological mechanisms: premigration formation of values and their preservation in the new country, self-selection of immigrants, acculturation (classical and paradoxical), and a reaction to the stress of adjustment in the new country. The results obtained demonstrated that the value system of immigrants in general was different from the value system of the nonimmigrant populations in both the country of origin and in the receiving country. When comparing immigrants and two other populations in each of the 19 basic values separately, it was found that immigrants reported higher levels of power dominance, power resources, and security social values, and lower levels of values of universalism tolerance, universalism concern, benevolence dependability, and self-direction thought than both the other groups. Results mainly corroborated what we have termed a Stress Reaction Value Constellation model. Adjustment difficulties encountered by immigrants in the receiving country and their survival needs may explain the specific pattern of value preferences found among immigrants. (PsycINFO Database Record (c) 2018 APA, all rights reserved)</t>
  </si>
  <si>
    <t>Singh, Shipra; Schulz, Amy Jo; Neighbors, Harold W.; Griffith, Derek M.</t>
  </si>
  <si>
    <t>Interactive effect of immigration-related factors with legal and discrimination acculturative stress in predicting depression among Asian American immigrants</t>
  </si>
  <si>
    <t>10.1007/s10597-016-0064-9</t>
  </si>
  <si>
    <t>http://search.ebscohost.com.proxy-ub.rug.nl/login.aspx?direct=true&amp;db=psyh&amp;AN=2016-57900-001&amp;site=ehost-live&amp;scope=site</t>
  </si>
  <si>
    <t>This study examined the impact of discrimination and legal acculturative stress on Major Depression Episode lifetime among Asian American immigrants. It further examined the role of immigration related-factors (age at immigration, reason for immigration, and years spent in the U.S.) on the relationship of acculturative stress and Major Depression Episode lifetime. The National Latino and Asian American Study 2002â€“2003 dataset was used. The study findings were: (1) high discrimination and legal acculturative stress were associated with Major Depression Episode lifetime; (2) age at immigration buffered the relationship of discrimination acculturative stress and Major Depression Episode lifetime as well as the relationship of legal acculturative stress and Major Depression Episode lifetime; and (3) years spent in the U.S. buffered the relationship of discrimination acculturative stress and Major Depression Episode lifetime only. These findings highlight the complex relationship of factors that impact the mental health of the Asian American immigrants. (PsycINFO Database Record (c) 2018 APA, all rights reserved)</t>
  </si>
  <si>
    <t>When the relationship between nationality and religion matters: An investigation into changes in the identity system and inter-group relations as a response to threat Vol 1</t>
  </si>
  <si>
    <t>Evaluating political acculturation strategies: The perspective of the majority and other minority groups</t>
  </si>
  <si>
    <t>0162-895X</t>
  </si>
  <si>
    <t>Applying the acculturation framework to the political domain, this research examines how Dutch majority members and members of different minority groups evaluate the political acculturation strategies of an immigrantâ€origin group. Using an experimental vignette design (N = 664), the results show that the strategy of political assimilation (only advance the interests of society) was evaluated most positively, followed by integration (advance the interest of society and of the minority group), and then separation (only advance the interest of the minority group). This was found for the native Dutch as well as the immigrantâ€origin groups. This suggest that minority members do not view minority outgroups as potential allies to counter the dominance of the majority group, but rather as competitors for political influence. Furthermore, the role of dual identification for the evaluation of ingroup political acculturation depended on the type of political acculturation strategy. (PsycINFO Database Record (c) 2018 APA, all rights reserved)</t>
  </si>
  <si>
    <t>Daniel, Manju; Miller, Arlene; Wilbur, JoEllen</t>
  </si>
  <si>
    <t>Multiple instrument translation for use with South Asian Indian immigrants</t>
  </si>
  <si>
    <t>10.1002/nur.20450</t>
  </si>
  <si>
    <t>http://search.ebscohost.com.proxy-ub.rug.nl/login.aspx?direct=true&amp;db=psyh&amp;AN=2012-11105-006&amp;site=ehost-live&amp;scope=site</t>
  </si>
  <si>
    <t>The purpose of this study was to describe translation of five measures (physical activity, acculturation, discrimination, selfâ€efficacy, and depression) from English into Hindi using the committee translation method, focus group, and thinkâ€aloud interviews. Two South Asian Indian (SAI) immigrant bilingual translators and a moderator reached consensus on 93 of 102 items, using the committee method. Discrepancy in nine items was resolved with a focus group conducted with five bilingual SAI immigrants. Ten other bilingual SAI immigrants participated in thinkâ€aloud interviews to assess understanding and interpretation of the questions. More than 10 additional changes were made following the thinkâ€aloud interviews. Sequential use of multiple translation techniques improved translation with culturally acceptable language, thereby maintaining equivalence with original versions. (PsycINFO Database Record (c) 2016 APA, all rights reserved)</t>
  </si>
  <si>
    <t>Schrauf, Robert W.; Iris, Madelyn</t>
  </si>
  <si>
    <t>A direct comparison of popular models of normal memory loss and Alzheimer's disease in samples of African Americans, Mexican Americans, and refugees and immigrants from the former Soviet Union</t>
  </si>
  <si>
    <t>Journal of the American Geriatrics Society</t>
  </si>
  <si>
    <t>10.1111/j.1532-5415.2011.03361.x</t>
  </si>
  <si>
    <t>http://search.ebscohost.com.proxy-ub.rug.nl/login.aspx?direct=true&amp;db=psyh&amp;AN=2011-07946-008&amp;site=ehost-live&amp;scope=site</t>
  </si>
  <si>
    <t>Objectives: To understand how people differentiate normal memory loss from Alzheimerâ€™s disease (AD) by investigating cultural models of these conditions. Design: Ethnographic interviews followed by a survey. Cultural consensus analysis was used to test for the presence of group models, derive the 'culturally correct' set of beliefs, and compare models of normal memory loss and AD. Setting: Chicago, Illinois. Participants: One hundred eight individuals from local neighborhoods: African Americans, Mexican Americans, and refugees and immigrants from the former Soviet Union. Measurements: Participants responded to yes-or-no questions about the nature and causes of normal memory loss and AD and provided information on ethnicity, age, sex, acculturation, and experience with AD. Results: Groups held a common model of AD as a brain-based disease reflecting irreversible cognitive decline. Higher levels of acculturation predicted greater knowledge of AD. Russian speakers favored biological over psychological models of the disease. Groups also held a common model of normal memory loss, including the important belief that 'normal' forgetting involves eventual recall of the forgotten material. Conclusion: Popular models of memory loss and AD confirm that patients and clinicians are speaking the same 'language' in their discussions of memory loss and AD. Nevertheless, the presence of coherent models of memory loss and AD, and the unequal distribution of that knowledge across groups, suggests that clinicians should include wider circles of patientsâ€™ families and friends in their consultations. These results frame knowledge as distributed across social groups rather than simply the possession of individual minds. (PsycINFO Database Record (c) 2016 APA, all rights reserved)</t>
  </si>
  <si>
    <t>Undocumented migration and the residential segregation of Mexicans in new destinations</t>
  </si>
  <si>
    <t>0049-089X</t>
  </si>
  <si>
    <t>This study uses data from the 2000 Census and 2005â€“2009 American Community Survey to examine the impact of undocumented Mexican migration to new destinations on residential segregation between Mexican immigrants and native-born whites and native-born blacks. We find that Mexican-white and Mexican-black segregation is higher in new Mexican gateways than in established areas and that, for Mexican-immigrant segregation from whites, this heightened level of residential segregation in new destinations can be explained by the high presence of unauthorized Mexican immigrants living there which tends to bolster segregation between the two groups. By contrast, Mexican-immigrant segregation from native-born blacks tends to be lower in areas with larger undocumented populations, a pattern that is especially true in new destinations. Neither of these opposing effects of legal status on Mexican-immigrant segregation can be explained by compositional differences in assimilation (English ability and earnings) between documented and undocumented immigrants nor by structural variation in metropolitan areas, suggesting a unique association between legal status and segregation. (PsycINFO Database Record (c) 2017 APA, all rights reserved)</t>
  </si>
  <si>
    <t>ArÃ©valo, Sandra P.; Tucker, Katherine L.; FalcÃ³n, Luis M.</t>
  </si>
  <si>
    <t>Life events trajectories, allostatic load, and the moderating role of age at arrival from Puerto Rico to the US mainland</t>
  </si>
  <si>
    <t>10.1016/j.socscimed.2014.09.040</t>
  </si>
  <si>
    <t>http://search.ebscohost.com.proxy-ub.rug.nl/login.aspx?direct=true&amp;db=psyh&amp;AN=2014-47452-034&amp;site=ehost-live&amp;scope=site</t>
  </si>
  <si>
    <t>Our aim was to examine the effects of trajectories of stressful life events on allostatic load, measured over a two year time period, and to investigate the roles of language acculturation and age at migration in this association, in a sample of Puerto Rican migrants. We used data from the Boston Puerto Rican Health Study; a population-based prospective cohort of older Puerto Ricans recruited between the ages of 45 and 75 years. The Institutional Review Boards at Tufts Medical Center and Northeastern University approved the study. We used latent growth mixture modeling (LGMM) to identify different classes of two-year trajectories of stressful life events; analysis of variance to examine group differences by stress trajectory; and linear regression to test for the modifying effects of age at arrival on the association of stress trajectory with allostatic load at follow-up. In LGMM analysis, we identified three distinct stress trajectories; low, moderate ascending, and high. Unexpectedly, participants in the low stress group had the highest allostatic load at follow-up (F = 4.4, p = 0.01) relative to the other two groups. Age at arrival had a statistically significant moderating effect on the association. A reported two year period of moderate but repetitive and increasingly bad life events was associated with increases in allostatic load for participants who arrived to the U.S. mainland after the age of 5 years, and was particularly strong for those arriving between 6 and 11 years, but not for those arriving earlier or later. Results from this study highlight the complex effects of stress during the life course, and point to certain vulnerable periods for immigrant children that could modify long term effects of stress. (PsycINFO Database Record (c) 2018 APA, all rights reserved)</t>
  </si>
  <si>
    <t>Au, Algae K. Y.; Hui, Bryant P. H.; Chen, Sylvia Xiaohua</t>
  </si>
  <si>
    <t>Intercultural relations in Hong Kong</t>
  </si>
  <si>
    <t>Mutual intercultural relations.</t>
  </si>
  <si>
    <t>http://search.ebscohost.com.proxy-ub.rug.nl/login.aspx?direct=true&amp;db=psyh&amp;AN=2017-53660-015&amp;site=ehost-live&amp;scope=site</t>
  </si>
  <si>
    <t>The study of the mutual views of Mainland Chinese immigrants and Hong Kong Chinese residents on immigration is an interesting and important topic in intercultural relations research. This is partly because of the territoryâ€™s long colonial history; during this period, British cultural influences were introduced. More recently, Hong Kong came under increasing influence from Mainland China. Thus, acculturation and intercultural relations are complex, and in transition. On the diversity index, Hong Kong is low; its place on the other indexes cannot be estimated at present. In this chapter, we will examine the three hypotheses of Mutual Intercultural Relations in Plural Society (MIRIPS) project: the multiculturalism hypothesis, contact hypothesis and integration hypothesis in this Mainland-Hong Kong intra-country migration context. (PsycINFO Database Record (c) 2018 APA, all rights reserved)</t>
  </si>
  <si>
    <t>book</t>
  </si>
  <si>
    <t>Culture-specific development of early motherâ€“infant emotional co-regulation: Italian, Cameroonian, and West African immigrant dyads</t>
  </si>
  <si>
    <t>0012-1649</t>
  </si>
  <si>
    <t>Studies conducted in Western countries document the special role of motherâ€“infant face-to-face exchanges for early emotional development including social smiling. A few cross-cultural studies have shown that the Western pattern of face-to-face communication is absent in traditional rural cultures, without identifying other processes that promote emotional Co-regulation. The present study compared three different samples: Western middle-class families in Italy, rural traditional Nso farmer families in Cameroon, and West African sub-Saharan immigrant families in Italy using biweekly observations of 20 motherâ€“infant dyads from each cultural context from age 4 to 12 weeks. Longitudinal sequential analysis of maternal and infant behaviors showed that from as early as 4 weeks, in Italian dyads maternal affectionate talking is linked with infant active attention to mother in sequences of face-to-face contact; this link fosters the subsequent emergence of infant smiling/cooing, and then sequences of positive feedback between infant and maternal emotional expressions that, by the 3rd month, dynamically stabilize. In contrast, for Cameroonian/Nso dyads over the 2nd and 3rd month, maternal motor stimulation marked by rhythmic vocalizing is linked with infant active attention to surroundings. The relatively few smiling/cooing actions of Nso babies at their mothers were answered mainly with tactile stimulation that did not foster the maintenance of face-to-face visual contact. Finally, West African immigrant dyads showed a combination of both face-to-face and sensorimotor coregulated exchanges observed in their new and native cultures. These findings suggest that emotional Co-regulation in early infancy can occur via multiple, culture-specific pathways that may be substantially different from the western pattern of face-to-face communication. (PsycINFO Database Record (c) 2019 APA, all rights reserved)</t>
  </si>
  <si>
    <t>Gaps between immigrant spouses in host country language proficiency: Longitudinal effects on marital satisfaction</t>
  </si>
  <si>
    <t>Acculturative stress in Latin-American immigrants: An assessment proposal</t>
  </si>
  <si>
    <t>1138-7416</t>
  </si>
  <si>
    <t>Ethnic identification and relationship satisfaction in Chinese, Western, and intercultural Chineseâ€“Western couples</t>
  </si>
  <si>
    <t>2160-4096</t>
  </si>
  <si>
    <t>Rates of international migration and intercultural marriage are rising. Migrants and intercultural partners may experience challenges in defining their ethnic identity relative to their own heritage culture, their partnerâ€™s heritage culture, and the majority culture of their country of residence. The current study examined Chinese and Western ethnic identification and relationship satisfaction in four cultural combinations of couples: Westernâ€“Western (Western maleâ€“Western female), Chineseâ€“Chinese (Chinese maleâ€“Chinese female), Western maleâ€“Chinese female, and Chinese maleâ€“Western female. All couples were residing in Brisbane, Australia, a multicultural city with a majority Western culture. Intracultural couples (Westernâ€“Western and Chineseâ€“Chinese) reported the strongest ethnic identification with their heritage culture and weakest ethnic identification with their nonheritage culture, whereas intercultural couples (Western maleâ€“Chinese female and Chinese maleâ€“Western female) demonstrated intermediate identification. Greater similarity between partners on ethnic identification with the majority Western culture of Australia predicted greater relationship satisfaction, but there was no association of relationship satisfaction with partner similarity on Chinese ethnic identification. We discuss patterns of ethnic identification in terms of acculturation of immigrants, the selection of partners who are similar in ethnic identification, and accommodation of individualsâ€™ ethnic identification toward their partnerâ€™s ethnic identification. (PsycINFO Database Record (c) 2019 APA, all rights reserved)</t>
  </si>
  <si>
    <t>Akotia, Charity; Naidoo, Josephine</t>
  </si>
  <si>
    <t>Positive and negative experiences of refugees in accessing a settlement service in southern Ontario, Canada</t>
  </si>
  <si>
    <t>IFE Psychologia: An International Journal</t>
  </si>
  <si>
    <t>1117-1421</t>
  </si>
  <si>
    <t>10.4314/ifep.v6i2.23541</t>
  </si>
  <si>
    <t>http://search.ebscohost.com.proxy-ub.rug.nl/login.aspx?direct=true&amp;db=psyh&amp;AN=1999-10863-012&amp;site=ehost-live&amp;scope=site</t>
  </si>
  <si>
    <t>Reports on one supportive program sponsored by the Canadian Immigration and Multicultural Directorate to facilitate the rapid settlement, adaptation, and integration of refugees from around the world. The study reports on the positive and negative experiences of 30 randomly selected participants of the program representing 5 Third World ethnic refugee groups (i.e., from Poland, El Salvador, Ethiopia, Vietnam, and Iran). Participants responded to an adapted version of a closed/open-ended questionnaire designed by Pancer and Nelson (1987). Personal interviews, conducted in the participants' homes were augmented by an in-depth focus-group interview with program counselors. The qualitative and quantitative data gathered yielded a rich holistic description of respondent experiences. Basically, participants viewed the program as extremely helpful; however, certain deficiencies emerged such as a lack of employment information, loneliness, isolation, and marginalization. The recommendations presented to the agency should counter these problems. The study serves as a model for evaluating similar settlement programs, especially with respect to facilitating entry into different cultures, and sensitivity to cross-cultural ethics. (PsycINFO Database Record (c) 2016 APA, all rights reserved)</t>
  </si>
  <si>
    <t>The impact of object relations and acculturative stress on the subjective well-being of Mexican immigrants</t>
  </si>
  <si>
    <t>Alcohol consumption change of English, French and Chinese speaking immigrants in Ottawa and Gatineau, Canada</t>
  </si>
  <si>
    <t>0943-1853</t>
  </si>
  <si>
    <t>How representative are snowball samples? Using the ethnosurvey to study Guatemala-US migration</t>
  </si>
  <si>
    <t>Effects of illiteracy on the European Cross-cultural Neuropsychological Test Battery (CNTB)</t>
  </si>
  <si>
    <t>0887-6177</t>
  </si>
  <si>
    <t>Objectives: Test performances of illiterate and literate immigrants were compared to investigate the effects of illiteracy on the European Cross-cultural Neuropsychological Test Battery (CNTB), and associations between test performance and participant characteristics were examined. Method: Participants were 20 illiterate and 21 literate middle-aged and older Turkish immigrants (50â€“85 years) matched by age and gender that completed the CNTB as well as a number of demographic and medical questionnaires. Results: No significant group differences or correlations between education, acculturation or health characteristics and test performances were found on 10 of 16 measures. Illiteracy status and participant characteristics affected measures of mental processing speed, executive function, and visuoconstruction. Conclusions: The preliminary findings suggest that several of the measures in the CNTB may be valid for assessment of cognitive functioning in people who are illiterate when applied using available normative data. However, these findings need to be replicated in larger samples. (PsycINFO Database Record (c) 2019 APA, all rights reserved)</t>
  </si>
  <si>
    <t>IbaÃ±ez, Gladys E.; Dillon, Frank; Sanchez, Mariana; de la Rosa, Mario; Tan, Li; Villar, Maria Elena</t>
  </si>
  <si>
    <t>Changes in family cohesion and acculturative stress among recent Latino immigrants</t>
  </si>
  <si>
    <t>Social inclusion and health conditions among Chinese immigrants in Hong Kong and the United Kingdom: An exploratory study</t>
  </si>
  <si>
    <t>0303-8300</t>
  </si>
  <si>
    <t>Whether and how immigrants are included in the host society has become a hot topic in the context of globalization. How inclusive a society is for immigrants can be answered by comparing the inclusion of immigrants to near-culture host society and those to a different-culture society. This paper reports the social inclusion and their correlation with health conditions among Chinese immigrants in Hong Kong and the United Kingdom. Two non-probability sample surveys were conducted using the Social and Communities Opportunities Profile and its Chinese version as survey instruments. Altogether 56 new arrivals in Hong Kong and 51 immigrants in UK were recruited through NGOs to participate in face-to-face individual interviews. Both Hong Kong and UK participants reported high overall social inclusion. The two sub-samples shared many similarities in the perceived opportunities and satisfaction of opportunities in various social domains. There was evidence that immigrants in a host society with similar language demonstrated higher perceived satisfaction with opportunities in contact with friends and family, as well as higher perceived opportunities for community involvement than immigrants in a society with a different language. However, overall social inclusion appeared to be independent of oneâ€™s health conditions. (PsycINFO Database Record (c) 2016 APA, all rights reserved)</t>
  </si>
  <si>
    <t>Predictors of acculturative hassles among Vietnamese refugees in Norway: Results from a long-term longitudinal study</t>
  </si>
  <si>
    <t>We investigated acculturative hassles in a community cohort of Vietnamese refugees in Norway (n = 61), exploring cross-sectional data and longitudinal predictors of acculturative hassles using data from their arrival in Norway in 1982 (T1), with follow up in 1985 (T2) and in 2005â€“2006 (T3). To our knowledge, this is the first longitudinal study of predictors of acculturative hassles in a refugee population. Results indicated that more communication problems and less Norwegian language competence were related to most hassles at T3. Higher psychological distress, lower quality of life, lower self-reported state of health, and less education at T3 were associated with higher levels of hassles at T3. More psychological distress at T2 and less education at arrival (T1) were significant predictors for more acculturative hassles at T3. These data suggest that addressing psychological distress during the early phase in a resettlement country may promote long-term refugee adjustment and, in particular, reduce exposure to acculturative hassles. (PsycINFO Database Record (c) 2016 APA, all rights reserved)</t>
  </si>
  <si>
    <t>Attitudes of Iranian immigrants in the United States toward seeking mental health services</t>
  </si>
  <si>
    <t>Salas-Wright, Christopher P.; Robles, Eden H.; Vaughn, Michael G.; CÃ³rdova, David; PÃ©rez-Figueroa, Rafael E.</t>
  </si>
  <si>
    <t>Toward a typology of acculturative stress: Results among Hispanic immigrants in the United States</t>
  </si>
  <si>
    <t>0739-9863</t>
  </si>
  <si>
    <t>10.1177/0739986315573967</t>
  </si>
  <si>
    <t>http://search.ebscohost.com.proxy-ub.rug.nl/login.aspx?direct=true&amp;db=psyh&amp;AN=2015-15987-005&amp;site=ehost-live&amp;scope=site</t>
  </si>
  <si>
    <t>The objective of this study is to identify latent classes of Hispanic immigrants on the basis of acculturative stress and, in turn, examine the links between membership in acculturative stress classes and the prevalence of mental disorders. We use latent class analysis (LCA) and multinomial logistic regression with data from a population-based study of Hispanic immigrants in the United States (n = 1,630). Classes were identified as 'Low Acculturative Stress' (38.40%); 'Social and Linguistic Stress' (32.27%); 'Acculturative Stress, No Fear of Deportation' (20.06%); and 'Acculturative Stress, Fear of Deportation' (9.26%). Members of the 'Acculturative Stress, Fear of Deportation' class were significantly more likely than members of the 'Low Acculturative Stress' class to meet criteria for generalized anxiety disorder (risk ratios [RR] = 3.55, 95% confidence interval [CI] [1.00, 12.56]). The present study represents an important step in the development of a typology of acculturative stress among Hispanic immigrants in the United States. (PsycINFO Database Record (c) 2016 APA, all rights reserved)</t>
  </si>
  <si>
    <t>Romero, Andrea; PiÃ±a-Watson, Brandy</t>
  </si>
  <si>
    <t>Acculturative stress and bicultural stress: Psychological measurement and mental health</t>
  </si>
  <si>
    <t>The Oxford handbook of acculturation and health.</t>
  </si>
  <si>
    <t>978-0-19-021521-7</t>
  </si>
  <si>
    <t>http://search.ebscohost.com.proxy-ub.rug.nl/login.aspx?direct=true&amp;db=psyh&amp;AN=2017-43855-007&amp;site=ehost-live&amp;scope=site</t>
  </si>
  <si>
    <t>This chapter discusses the concepts of acculturative and bicultural stress, the theory and method behind the measurement, and the implications of the US immigration policy context for stress. The central sources of acculturative and bicultural stress are reviewed, including intergroup discrimination, language stress, intragroup marginalization, and family cultural conflict. In particular, literature is reviewed that examines the association between mental health and acculturative or bicultural stress. Extant research does demonstrate that degree of stress varies for individuals and that acculturative/bicultural stress is experienced not only by immigrants but also by minorities in the United States. Therefore, the present chapter reviews literature that connects the acculturative/bicultural stress process across generations. The immigration context is considered for future research in the area of acculturation and stress. (PsycINFO Database Record (c) 2019 APA, all rights reserved)</t>
  </si>
  <si>
    <t>Brunnet, Alice E.; BolasÃ©ll, Laura T.; Weber, JoÃ£o L. A.; Kristensen, Christian H.</t>
  </si>
  <si>
    <t>Prevalence and factors associated with PTSD, anxiety and depression symptoms in Haitian migrants in southern Brazil</t>
  </si>
  <si>
    <t>Background: Prevalence rates of mental health disorders in migrants are controversial. The socio-historical and economic background of the host country may play an important role in the mental health status of migrants. As studies are mostly conducted in developed countries, researching migration in developing countries may add important information to scientific literature. Aims: This study aims to investigate the prevalence and factors associated with posttraumatic stress disorder (PTSD), anxiety and depression symptoms in Haitian migrants in southern Brazil. Methods: The sample comprises 66 participants selected from four different sites in three cities of a Brazilian southern state. Participants fulfilled a sociodemographic questionnaire, as well as instruments investigate traumatic events; post-migration difficulties and symptoms of PTSD, anxiety and depression. Linear regression models were utilized to investigate factors associated with PTSD, anxiety and depression symptoms. Results: PTSD prevalence in the sample was 9.1%. Depression and anxiety symptoms were in the clinical range of 10.6%â€“13.6% of participants, respectively. A number of traumatic events, acculturation difficulties, discrimination and low social support were associated with the investigated mental health disorders. Conclusion: The results point to the importance of public policies in promoting better social and mental health support for migrants. Providing information to the Brazilian population about migration may improve receptiveness in the host society. (PsycINFO Database Record (c) 2018 APA, all rights reserved)</t>
  </si>
  <si>
    <t>Minority paradoxes: Ethnic differences in self-reported offending and official crime statistics</t>
  </si>
  <si>
    <t>0007-0955</t>
  </si>
  <si>
    <t>Immigrants and their native-born children tend to be overrepresented among crime suspects in Europe. Using a representative Dutch survey, we examine whether inhabitants of Turkish and Moroccan origin also self-report more crimes than the native Dutch. In addition, we test various explanations for ethnic differences in crime, partly using variables that are unavailable in administrative data (socio-economic status [SES], perceived discrimination, neighbourhood disadvantage and control, family bonds, religiousness). We discover two â€˜minority paradoxesâ€™. Firstly, contrary to analyses using administrative data, both minorities have similar to lower self-reported crime rates compared to the majority group when age, sex, urbanization, SES and social desirability are controlled. Secondly, first-generation immigrants report fewer crimes than expected given their social disadvantage, thus indicating a notable â€˜righteous migrant effectâ€™. (PsycINFO Database Record (c) 2019 APA, all rights reserved)</t>
  </si>
  <si>
    <t>Depressive symptoms and acculturative stress among Afghan immigrants in the United States</t>
  </si>
  <si>
    <t>Sanou, Dia; O'Reilly, Erin; Ngnie-Teta, Ismael; Batal, Malek; Mondain, Nathalie; Andrew, Caroline; Newbold, Bruce K.; Bourgeault, Ivy L.</t>
  </si>
  <si>
    <t>Acculturation and nutritional health of immigrants in Canada: A scoping review</t>
  </si>
  <si>
    <t>10.1007/s10903-013-9823-7</t>
  </si>
  <si>
    <t>http://search.ebscohost.com.proxy-ub.rug.nl/login.aspx?direct=true&amp;db=psyh&amp;AN=2014-02425-004&amp;site=ehost-live&amp;scope=site</t>
  </si>
  <si>
    <t>Although recent immigrants to Canada are healthier than Canadian born (i.e., the Healthy Immigrant Effect), they experience a deterioration in their health status which is partly due to transitions in dietary habits. Since pathways to these transitions are under-documented, this scoping review aims to identify knowledge gaps and research priorities related to immigrant nutritional health. A total of 49 articles were retrieved and reviewed using electronic databases and a stakeholder consultation was undertaken to consolidate findings. Overall, research tends to confirm the Healthy Immigrant Effect and suggests that significant knowledge gaps in nutritional health persist, thereby creating a barrier to the advancement of health promotion and the achievement of maximum health equity. Five research priorities were identified including (1) risks and benefits associated with traditional/ethnic foods; (2) access and outreach to immigrants; (3) mechanisms and coping strategies for food security; (4) mechanisms of food choice in immigrant families; and (5) health promotion strategies that work for immigrant populations. (PsycINFO Database Record (c) 2019 APA, all rights reserved)</t>
  </si>
  <si>
    <t>Culturally sensitive depression assessment for Chinese American Immigrants: Development of a comprehensive measure and a screening scale using an item response approach</t>
  </si>
  <si>
    <t>1948-1985</t>
  </si>
  <si>
    <t>The present mixed methods study developed a comprehensive measure and a screening scale of depression for Chinese American immigrants by combining an emic approach with item response analysis. Clinical participants were immigrants diagnosed by licensed clinicians who worked in the community. Qualitative interviews with clinicians and clinical participants (N = 63) supported the definition of the construct of depression and the development of a 47-item pilot scale. Clinical and community participants (N = 227) completed the pilot scale, measures of neurasthenia and acculturative stress, and the Patient Health Questionnaire Depression Module (PHQâ€“9). A Rasch partial credit model of 42 itemsâ€”representing psychological, somatic and interpersonal domains of distressâ€”best fit the data. Twenty-two items overlapped with the Diagnostic and Statistical Manual of Mental Disorders, 4th edition (DSMâ€“IV) symptoms of major depression. Twenty-seven items were biased by acculturation-related variables. Nine items appropriate for self-report screening in primary care and community organizations were chosen to form a brief scale. Both measures showed strong reliability and concurrent and convergent validity. The 9-item scale had better content validity than the PHQâ€“9. Implications regarding the impact of culture for assessment are highlighted. (PsycINFO Database Record (c) 2016 APA, all rights reserved)</t>
  </si>
  <si>
    <t>Ellis, B. Heidi; Abdi, Saida M.; Lazarevic, Vanja; White, Matthew T.; Lincoln, Alisa K.; Stern, Jessica E.; Horgan, John G.</t>
  </si>
  <si>
    <t>Relation of psychosocial factors to diverse behaviors and attitudes among Somali refugees</t>
  </si>
  <si>
    <t>10.1037/ort0000121</t>
  </si>
  <si>
    <t>http://search.ebscohost.com.proxy-ub.rug.nl/login.aspx?direct=true&amp;db=psyh&amp;AN=2015-54041-001&amp;site=ehost-live&amp;scope=site</t>
  </si>
  <si>
    <t>Refugee studies have examined both resilience and adverse outcomes, but no research has examined how different outcomes co-occur or are distinct, and the social-contextual factors that give rise to these diverse outcomes. The current study begins to address this gap by using latent profile analysis to examine the ways in which delinquency, gang involvement, civic engagement, political engagement, and openness to violent extremism cluster among Somali refugees. We then use multivariable regression analyses to examine how adversity (e.g., discrimination, trauma, and marginalization) is associated with the identified latent classes. Data were collected from 374 Somali refugee young adults (Mage = 21.30 years, SD = 2.90, range 18â€“30, 38% female) from 4 different North American communities. Participants completed a structured survey assessing their experiences of adversity, delinquent and/or violent attitudes and behaviors (e.g., attitudes toward violent extremism, participation in delinquent behaviors, involvement in gangs), and positive outcomes (e.g., civic and political engagement). Our findings indicate that participants fall into 5 distinct groups, and that social-contextual and individual factors are uniquely related to those groups. Specifically, strong social bonds seem to be associated with positive outcomes. These findings point to the need to further examine both positive and negative outcomes, paying special attention to socialâ€“contextual factors. (PsycINFO Database Record (c) 2019 APA, all rights reserved)</t>
  </si>
  <si>
    <t>Acculturative stress and depression in an elderly Arabic sample</t>
  </si>
  <si>
    <t>Acculturative stress and relevant demographic variables, including immigration status, English skills, level of education, age, gender, country of origin, and years since immigration to the U. S. are examined along with their relationship to depressive symptoms. The 200 Arab-American and recent Arab immigrant participants ranged from age 60â€“92 and represented eight countries of origin. Most had limited fluency in English. Arabic versions of the Multi-dimensional Acculturative Stress Inventory (MASI) and Geriatric Depression Scale were administered. MASI and GDS results indicated greater degrees of acculturative stress and depression for those with a refugee or temporary resident status. More recent entry into the U.S. also predicted greater stress, while greater levels of education and English skills predicted lower levels of stress and depression. Composite stress levels and the nature of stress varied by country of origin. Although demographic variables were predictive of depression when examined separately, multiple regression analyses revealed that perceived acculturative stress, particularly pressure to learn English, provided a notable increment in prediction of depression over the demographic variables. (PsycINFO Database Record (c) 2016 APA, all rights reserved)</t>
  </si>
  <si>
    <t>Ghazinour, Mehdi; Richter, JÃ¶rg; Eisemann, Martin</t>
  </si>
  <si>
    <t>Quality of Life Among Iranian Refugees Resettled in Sweden</t>
  </si>
  <si>
    <t>Jacoby, NoÃ©mie; von Lersner, Ulrike; Schubert, Hella J.; Loeffler, Gerit; Heinz, Andreas; MÃ¶rsen, Chantal P.</t>
  </si>
  <si>
    <t>The role of acculturative stress and cultural backgrounds in migrants with pathological gambling</t>
  </si>
  <si>
    <t>1445-9795</t>
  </si>
  <si>
    <t>Grad, Hector</t>
  </si>
  <si>
    <t>Intercultural relations in Spain</t>
  </si>
  <si>
    <t>http://search.ebscohost.com.proxy-ub.rug.nl/login.aspx?direct=true&amp;db=psyh&amp;AN=2017-53660-013&amp;site=ehost-live&amp;scope=site</t>
  </si>
  <si>
    <t>The study of intercultural relations is especially interesting in Spain due to the combination of existing large regional, cultural and linguistic diversity within the country, and with a wave of increasing immigration, which has recently multiplied the foreign-born population by a factor of six. Although research shows relatively positive attitudes of the autochthonous population towards immigration and ethnocultural diversity, there are also some hints about a gap between the discourse supporting multiculturalism and the actual demands of unilateral adaptation of immigrants to the host culture. Spain is relatively high on the diversity and policy indexes, but is in the middle of the integration index. The three MIRIPS hypotheses are evaluated by examining the mutual relations between Ecuadorean immigrants and the Spanish-born population. Since Ecuador is a former Spanish colony the choice of this immigrant target group has several implications for the evaluation of the MIRIPS hypotheses. Furthermore, the Spanish study was directed towards populations with actual contact and intercultural experience. To accomplish this goal, samples of both populations were drawn from the same neighborhood. This matching design also allows the partial control of external variables which may affect the possibility and content of mutual relationships, such as differences in SES, education and ghettoization. (PsycINFO Database Record (c) 2018 APA, all rights reserved)</t>
  </si>
  <si>
    <t>Effects of self-esteem and ethnic identity: Acculturative stress and psychological well-being among Mexican immigrants</t>
  </si>
  <si>
    <t>Immigration and attendant psychological sequelae: A comparison of three waves of Iraqi immigrants</t>
  </si>
  <si>
    <t>Sammut, Gordon; Lauri, Mary Anne</t>
  </si>
  <si>
    <t>Intercultural relations in Malta</t>
  </si>
  <si>
    <t>http://search.ebscohost.com.proxy-ub.rug.nl/login.aspx?direct=true&amp;db=psyh&amp;AN=2017-53660-011&amp;site=ehost-live&amp;scope=site</t>
  </si>
  <si>
    <t>The study of intercultural relations in Malta is important because of its unique position between North Africa and Europe. While for centuries, it has served as a cross-roads between these continents, these movements have resulted in a society that is now relatively homogeneous. Malta is lowest on the ethnic diversity index and also low on the migrant integration index. It is not included in the multiculturalism policy index, but is estimated to be low as well. As a result, Malta may serve as special context in which to examine the three hypotheses. We evaluated all three MIRIPS hypotheses. Specifically, with respect to the Multiculturalism hypothesis, we hypothesized that Security would be positively correlated with Multicultural Ideology amongst both dominant and non-dominant groups. For the contact hypothesis, we hypothesized that Contact with other ethnocultural groups would be positively correlated with Multicultural Ideology. And for the Integration hypothesis, we hypothesized that Integration/Multiculturalism preferences would be positively correlated with Self-Esteem and Sociocultural Competence for both the non-dominant and dominant groups, respectively. (PsycINFO Database Record (c) 2018 APA, all rights reserved)</t>
  </si>
  <si>
    <t>Lebedeva, Nadezhda; Galyapina, Victoria; Lepshokova, Zarina; Ryabichenko, Tatiana</t>
  </si>
  <si>
    <t>Intercultural relations in Russia</t>
  </si>
  <si>
    <t>http://search.ebscohost.com.proxy-ub.rug.nl/login.aspx?direct=true&amp;db=psyh&amp;AN=2017-53660-002&amp;site=ehost-live&amp;scope=site</t>
  </si>
  <si>
    <t>The Russian Federation is one of the most multicultural societies in the world, having more than 100 ethnic and cultural groups. It ranks in the middle of the ethnic diversity index; however, it is estimated that Russia is low on the migrant integration index, and estimated to be in the middle on the multiculturalism policy index. In this chapter, we present two studies of intercultural relations in two multicultural regions of the Russian Federation: Central Federal District (Moscow) and two republics in the North Caucasus (Kabardino-Balkar Republic and Republic of North Ossetia-Alania). For each study, we first present the local context of intercultural relations and related theoretical issues, the samples and the results of each regional study. Then we present a general discussion based on a comparative analysis of the three hypotheses in both regions. Finally, we consider the limitations of the studies and their possible implications. (PsycINFO Database Record (c) 2018 APA, all rights reserved)</t>
  </si>
  <si>
    <t>School adjustment of children from rural migrant families in urban China</t>
  </si>
  <si>
    <t>0022-4405</t>
  </si>
  <si>
    <t>Second language social networks and communication-related acculturative stress: The role of interconnectedness</t>
  </si>
  <si>
    <t>1664-1078</t>
  </si>
  <si>
    <t>Although a substantial amount of cross-cultural psychology research has investigated acculturative stress in general, little attention has been devoted specifically to communication-related acculturative stress (CRAS). In line with the view that cross-cultural adaptation and second language (L2) learning are social and interpersonal phenomena, the present study examines the hypothesis that migrantsâ€™ L2 social network size and interconnectedness predict CRAS. The main idea underlying this hypothesis is that L2 social networks play an important role in fostering social and cultural aspects of communicative competence. Specifically, higher interconnectedness may reflect greater access to unmodified natural cultural representations and L2 communication practices, thus fostering communicative competence through observational learning. As such, structural aspects of migrantsâ€™ L2 social networks may be protective against acculturative stress arising from chronic communication difficulties. Results from a study of first generation migrant students (N = 100) support this idea by showing that both inclusiveness and density of the participantsâ€™ L2 network account for unique variance in CRAS but not in general acculturative stress. These results support the idea that research on cross-cultural adaptation would benefit from disentangling the various facets of acculturative stress and that the structure of migrantsâ€™ L2 network matters for language related outcomes. Finally, this study contributes to an emerging body of work that attempts to integrate cultural/cross-cultural research on acculturation and research on intercultural communication and second language learning. (PsycINFO Database Record (c) 2016 APA, all rights reserved)</t>
  </si>
  <si>
    <t>The role of acculturation in health status and utilization of health services among the Iranian elderly in metropolitan Sydney</t>
  </si>
  <si>
    <t>Maternal cultural orientation and child growth in New Zealand pacific families</t>
  </si>
  <si>
    <t>2153-2168</t>
  </si>
  <si>
    <t>Background: In New Zealand (NZ), children of Pacific heritage are generally born heavier and gain weight more quickly than non-Pacific children. Immigrants' health is commonly expected to converge with the host population through acculturation. The aim of this analysis was to examine whether mothers' acculturation is associated with less-rapid weight gain in NZ Pacific children, and whether this differs by mothers' nativity. Methods: In a birth cohort of 1249 children followed 2000â€“2011, birth weight and weight and standing height, measured at years 2, 4, 6, 9, and 11, were quantified as sex- and age-specific weight (weight-for-age; WFA) and BMI z-scores. Maternal acculturation (range, 11â€“54) was assessed at baseline and years 4, 6, and 11. Results: In adjusted models using generalized estimating equations to account for repeated measures, maternal acculturation was not significantly associated with children's WFA or BMI z-scores overall. In stratified analyses, change in maternal acculturation score was inversely associated with WFA z-score change among children of NZ-born, but not immigrant, mothers (beta = âˆ’0.021; 95% confidence interval, âˆ’0.036 to âˆ’0.007; p = 0.006; interaction, p = 0.005). Conclusions: Our study provides the first evidence in a longitudinal sample that changes in maternal acculturation can influence children's growth, suggesting the importance of lifestyle or behavioral factors related to a mother's cultural orientation. Given the high risk of obesity and its related conditions in the NZ Pacific population, critical next steps are to identify mediating factors, as well as to understand the processes influencing growth among children of immigrant mothers. (PsycINFO Database Record (c) 2016 APA, all rights reserved)</t>
  </si>
  <si>
    <t>Dillon, Frank R.; De La Rosa, Mario; IbaÃ±ez, Gladys E.</t>
  </si>
  <si>
    <t>Acculturative stress and diminishing family cohesion among recent Latino immigrants</t>
  </si>
  <si>
    <t>This study investigates a theorized link between Latino immigrantsâ€™ experience of acculturative stress during their two initial years in the United States (US) and declines in family cohesion from pre- to post-immigration contexts. This retrospective cohort study included 405 adult participants. Baseline assessment occurred during participantsâ€™ first 12 months in the US. Follow-up assessment occurred during participantsâ€™ second year in the US. General linear mixed models were used to estimate change in family cohesion and sociocultural correlates of this change. Inverse associations were determined between acculturative stress during initial years in the US and declines in family cohesion from pre-immigration to post-immigration contexts. Participants with undocumented immigration status, those with lower education levels, and those without family in the US generally indicated lower family cohesion. Participants who experienced more acculturative stress and those without family in the US evidenced a greater decline in family cohesion. Results are promising in terms of implications for health services for recent Latino immigrants. (PsycINFO Database Record (c) 2016 APA, all rights reserved)</t>
  </si>
  <si>
    <t>A measure of English acculturation stress and its relationships with psychological and physical health status in a sample of elderly Russian immigrants</t>
  </si>
  <si>
    <t>Conceptualizing psychological processes in response to globalization: Components, antecedents, and consequences of global orientations</t>
  </si>
  <si>
    <t>The influences of globalization have permeated various aspects of life in contemporary society, from technical innovations, economic development, and lifestyles, to communication patterns. The present research proposed a construct termed global orientation to denote individual differences in the psychological processes of acculturating to the globalizing world. It encompasses multicultural acquisition as a proactive response and ethnic protection as a defensive response to globalization. Ten studies examined the applicability of global orientations among majority and minority groups, including immigrants and sojourners, in multicultural and relatively monocultural contexts, and across Eastern and Western cultures. Multicultural acquisition is positively correlated with both independent and interdependent self-construals, bilingual proficiency and usage, and dual cultural identifications. Multicultural acquisition is promotion-focused, while ethnic protection is prevention-focused and related to acculturative stress. Global orientations affect individuating and modest behavior over and above multicultural ideology, predict overlap with outgroups over and above political orientation, and predict psychological adaptation, sociocultural competence, tolerance, and attitudes toward ethnocultural groups over and above acculturation expectations/strategies. Global orientations also predict English and Chinese oral presentation performance in multilevel analyses and the frequency and pleasantness of intercultural contact in cross-lagged panel models. We discuss how the psychological study of global orientations contributes to theory and research on acculturation, cultural identity, and intergroup relations. (PsycINFO Database Record (c) 2018 APA, all rights reserved)</t>
  </si>
  <si>
    <t>A psychology of economic migration</t>
  </si>
  <si>
    <t>Stressors related to depression among elderly Korean immigrants</t>
  </si>
  <si>
    <t>While depression in the elderly is well documented, little is known about depression in specific groups of immigrant elderly. In this study, 160 elderly Korean immigrants completed measures of depression, stressful life events, acculturative stress, family relationships, social support, and demographic variables. Findings revealed that income, acculturative stress, and living place were significant predictors of depression. As income declined, depression increased; living with oneâ€™s adult children was associated with less depression; depression increased in concert with acculturative stress. These findings suggest that maintaining family relationships may be a key factor in preventing and/or lessening depression in elderly Korean immigrants. (PsycINFO Database Record (c) 2016 APA, all rights reserved)</t>
  </si>
  <si>
    <t>LÃ³pez-RodrÃ­guez, LucÃ­a; Zagefka, Hanna; Navas, Marisol; Cuadrado, Isabel</t>
  </si>
  <si>
    <t>Explaining majority membersâ€™ acculturation preferences for minority members: A mediation model</t>
  </si>
  <si>
    <t>Two studies were conducted to integrate processes described in the literature on acculturation, stereotype content, and intergroup threat. Spanish majority members filled out questionnaires about their views of Moroccan immigrants (Study 1) and Ecuadorian immigrants (Study 2). They reported their perception of the immigrantsâ€™ endorsement of culture maintenance and adoption, their preferences for immigrants to maintain the original culture and adopt the host culture, their positive stereotypes about immigrants, and perceptions of threat. Results showed that â€˜perceived culture adoptionâ€™ had an effect on â€˜stereotypesâ€™, which in turn had an effect on â€˜perceived threatâ€™, which in turn had an effect on â€˜preference for culture maintenanceâ€™ (Studies 1 and 2) and â€˜preference for culture adoptionâ€™ (Study 1). Moreover, results confirmed that there were significant indirect effects of the majority's acculturation perceptions on majority membersâ€™ acculturation preferences, yielding further support that â€˜stereotypesâ€™ and â€˜perceived threatâ€™ are important mediators in the process. Stereotypes and perceived threat were both consequences of majority membersâ€™ acculturation perceptions and predictors of majority membersâ€™ acculturation preferences. (PsycINFO Database Record (c) 2016 APA, all rights reserved)</t>
  </si>
  <si>
    <t>Towards a culturally appropriate mental health system: Sudanese- Australians' experiences with trauma</t>
  </si>
  <si>
    <t>Social support as a protective factor for pre-migration experience, acculturative stress, and post migration health</t>
  </si>
  <si>
    <t>de la SablonniÃ¨re, Roxane; Amiot, Catherine E.; CÃ¡rdenas, Diana; Sadykova, Nazgul; Gorborukova, Galina L.; Huberdeau, Marieâ€Elaine</t>
  </si>
  <si>
    <t>Testing the subtractive pattern of cultural identification</t>
  </si>
  <si>
    <t>Identity integration, and more specifically, the subtractive pattern of cultural identification, is investigated in this article. This pattern is hypothesized to occur when individuals integrate a new group identity of higher and legitimate status than their original identity, resulting in lower identification with the original group. The first study examined how relative status predicts the subtractive pattern of identification in immigrants living in Canada. Studies 2 and 3â€”conducted among Kyrgyz and Canadian participantsâ€”extended these results by measuring the impact of legitimacy on the subtractive pattern of identification. Results support the hypothesis that the subtractive pattern of identification takes place when the new identity has a higher and legitimate status compared with the original one, highlighting the possible different patterns of identity integration. (PsycINFO Database Record (c) 2017 APA, all rights reserved)</t>
  </si>
  <si>
    <t>Arbona, Consuelo; Olvera, Norma; Rodriguez, Nestor; Hagan, Jacqueline; Linares, Adriana; Wiesner, Margit</t>
  </si>
  <si>
    <t>Acculturative stress among documented and undocumented Latino immigrants in the United States</t>
  </si>
  <si>
    <t>10.1177/0739986310373210</t>
  </si>
  <si>
    <t>http://search.ebscohost.com.proxy-ub.rug.nl/login.aspx?direct=true&amp;db=psyh&amp;AN=2010-15294-002&amp;site=ehost-live&amp;scope=site</t>
  </si>
  <si>
    <t>The purpose of the study was to examine differences between documented and undocumented Latino immigrants in the prevalence of three immigration-related challenges (separation from family, traditionality, and language difficulties), which were made more severe after the passage of restrictive immigration legislation in 1996. Specifically, the study sought to determine the combined and unique associations of legal status, the three immigration-related challenges listed above, and fear of deportation to acculturative stress related to family and other social contexts. Participants in the study consisted of 416 documented and undocumented Mexican and Central American immigrants living in two major cities in Texas. The Hispanic Stress Inventoryâ€“Immigrant form was used to assess acculturative stress in the sample. Results indicated that although undocumented immigrants reported higher levels of the immigration challenges of separation from family, traditionality, and language difficulties than documented immigrants, both groups reported similar levels of fear of deportation. Results also indicated that the immigration challenges and undocumented status were uniquely associated with extrafamilial acculturative stress but not with intrafamilial acculturative stress. Only fear of deportation emerged as a unique predictor of both extrafamililal and intrafamilial acculturative stress. (PsycINFO Database Record (c) 2016 APA, all rights reserved)</t>
  </si>
  <si>
    <t>Trauma, post-migration living difficulties, and social support as predictors of psychological adjustment in resettled Sudanese refugees</t>
  </si>
  <si>
    <t>Lin, Tony Huang-Yu</t>
  </si>
  <si>
    <t>Impacts of oral language proficiency, television and internet on acculturation of Taiwanese college students</t>
  </si>
  <si>
    <t>http://search.ebscohost.com.proxy-ub.rug.nl/login.aspx?direct=true&amp;db=psyh&amp;AN=2014-99130-300&amp;site=ehost-live&amp;scope=site</t>
  </si>
  <si>
    <t>The majority of recent cross-cultural research with regard to the mediaâ€™s impact on acculturation has been aimed at Chinese immigrantsâ€™ acculturation by the media in the United States with relatively little attention to Taiwanese college studentsâ€™ state of change in acculturation by various media sources while acquiring English as a second language. There are significant numbers of studies on assimilation to the host culture by both the ethnic and host media; however, there is a paucity of literature based on the one-dimensional media impact on a particular demographic group which can be easily traced to various types of media affecting acculturation. This study investigates the possibility of the existence of the relationship between oral language proficiency, television media, and the Internet with respect to degree of acculturation on Taiwanese college-aged students from four colleges in Taipei, Taiwan. The study starts with an initial literature review on the causes of mediaâ€™s impact on English language acquisition and acculturation. Television and the Internet are used as independent variables to predict the degree of acculturation. A total of two hundred and ten participants were college-aged students whose native language is Mandarin. The study incorporates both qualitative and quantitative research methods to elicit data and quantify on the surveyâ€™s feedback. A pre-designed questionnaire survey consisting of twenty-nine questions were handed out to 210 students randomly to elicit required responses. Hierarchical linear multiple regression analysis will be deployed to confirm the variables that have the most impact on acculturation. All participants demonstrated significant changes on acculturation as a result of their great interest and substantial time spent on the English media. Different results between the groups using demographic variables (religion, areas of residence, and gender) were entered to triangulate data. An arousing result was revealed when variables were added in multiple regression equations to anticipate types of media significantly affecting degree of acculturation. Furthermore, both TV and Internet represents effective variables in predicting degree of acculturation. Nevertheless, replication studies with different moderation variables such as religious beliefs and genders might be needed to validate this outcome. The paper concludes with possible implications for needed changes in current mal-practices and recommendations for future research that is required addressing the pertaining issues. Suggestions for further studies that would better accommodate these problems in a way that would assist foreign language educators in better understandings and appreciation for English language learners in Taiwan will be revealed. (PsycINFO Database Record (c) 2016 APA, all rights reserved)</t>
  </si>
  <si>
    <t>The satisfaction with job life scale among immigrants</t>
  </si>
  <si>
    <t>0033-2968</t>
  </si>
  <si>
    <t>This article reports the development of a short multi-item measurement scale of satisfaction with job life (SWJLS). This scale evaluates a personâ€™s global assessment of job satisfaction. Two studies are presented for the purpose of establishing the reliability and validity of the SWJLS. The data were gathered among immigrants. The findings of both studies demonstrated that the SWJLS presents adequate psychometric properties. Exploratory and confirmatory factor analyses of the SWJLS evidenced a single underlying dimension. The reliability was highly satisfactory. Corroboration of validity was also yielded between correlations among indicators of well-being and acculturation, and scale scores. The results indicate that the SWJLS is a short and viable instrument to measure job life satisfaction. (PsycINFO Database Record (c) 2018 APA, all rights reserved)</t>
  </si>
  <si>
    <t>Hener, T.; Weller, A.; Shor, R.</t>
  </si>
  <si>
    <t>Stages of acculturation as reflected by depression reduction in immigrant nursing students</t>
  </si>
  <si>
    <t>10.1177/002076409704300402</t>
  </si>
  <si>
    <t>http://search.ebscohost.com.proxy-ub.rug.nl/login.aspx?direct=true&amp;db=psyh&amp;AN=1998-00720-002&amp;site=ehost-live&amp;scope=site</t>
  </si>
  <si>
    <t>Depression among immigrant students from the former Soviet Union was assessed as an index of the stage of their acculturation into Israel. 26 immigrant nurses (mean age 27 yrs) preparing for licensing, 16 immigrant nursing students (mean age 21 yrs), and 33 Israeli nursing students (mean age 24 yrs) completed the Beck Depression Inventory at the beginning of the school year and 6 mo later. At initial testing, immigrant Ss reported mild levels of depression, while Israelis were significantly less depressed, within the normal range. Six months later, both immigrant groups were within the normal range; immigrant nurses showed the greatest decrease in depression. Findings are discussed within the framework of multistage models of acculturation; implications for counseling immigrant students are presented. (PsycINFO Database Record (c) 2016 APA, all rights reserved)</t>
  </si>
  <si>
    <t>The influence of adult attachment styles on urban residents' attitudes toward acculturation strategies of rural-to-urban migrants in China</t>
  </si>
  <si>
    <t>981-283-786-8</t>
  </si>
  <si>
    <t>Migrant worker acculturation in China</t>
  </si>
  <si>
    <t>Chinese migrant workers form a substantial body of people who move to large cities from rural areas to seek employment. As they settle into the large urban cities, these internal migrants experience challenges that are similar to those of international migrants, and of members of ethnic groups who engage in the process of acculturation. Many see this flow as a problem, one that needs to be understood through research using evidence based on concepts and methods used in international acculturation research. In the present study, we examine the Urban Identity of 787 migrants, using the Migrant Workersâ€™ Urban Identity Questionnaire developed by Gui (2010). This instrument distinguishes two aspects of urban identity: social identity and place identity. In addition, 328 of these respondents were tested with the Satisfaction with Life Scale (Diener, Emmons, Larson, &amp; Griffin, 1985) and the Global Self-Worth Scale (Huang &amp; Yang, 1998). Findings show that the acculturation strategies model based on international immigrantsâ€™ identity can apply to the seasonal migrant workersâ€™ identity. With respect to their acculturation strategies: (1) different operationalisations of the second dimension in the two dimension model lead to a different classification of acculturation strategies; the â€˜deeperâ€™ the psychological phenomena the less migrant workers want to engage the national society; (2) different acculturation strategies were favored in social identity and place identity domains; (3) data from the Satisfaction with Life Scale and the Global Self-Worth Scale shows, by and large, that integration is the best acculturation strategy (and the marginalization the worst) for achieving wellbeing in both social identity and in place identity. This corresponds to findings and conclusions of much of the previous research on acculturation based on international migration. (PsycINFO Database Record (c) 2016 APA, all rights reserved)</t>
  </si>
  <si>
    <t>Niles, F. Sushila</t>
  </si>
  <si>
    <t>Stress, coping and mental health among immigrants to Australia</t>
  </si>
  <si>
    <t>Merging past, present, and future in cross-cultural psychology: Selected papers from the Fourteenth International Congress of the International Association for Cross-Cultural Psychology.</t>
  </si>
  <si>
    <t>90-265-1556-1</t>
  </si>
  <si>
    <t>http://search.ebscohost.com.proxy-ub.rug.nl/login.aspx?direct=true&amp;db=psyh&amp;AN=2000-07199-027&amp;site=ehost-live&amp;scope=site</t>
  </si>
  <si>
    <t>Examined the relationship between acculturative stress and mental health, with Greeks (aged 20â€“65 yrs) and Filipinos (aged 15â€“72 yrs) now residing in Northern Australia. The sample, composed of 50 from each group were interviewed. Apart from a free-response strategy, checklists of stressors and ways of coping as well as the General Health Questionnaire were used to obtain relevant data. The results suggest that overall the mental health of members of both groups (but more especially that of the Filipinos), seem to be only minimally affected by migrant experiences. A strong sense of cultural identity, and the support from family and association with members of their own community, seem to bolster immigrants even against stressors arising from perception of racism and discrimination. (PsycINFO Database Record (c) 2016 APA, all rights reserved)</t>
  </si>
  <si>
    <t>Social dominance orientation, realistic and symbolic threat: Effects on Italians' acculturation orientations, intergroup attitudes and emotions toward immigrants</t>
  </si>
  <si>
    <t>In this study, realistic and symbolic threat were tested as mediators of the effects of Social Dominance Orientation (SDO; Sidanius &amp; Pratto, 1999) on acculturation orientations, intergroup attitudes and emotions. One-hundred Italian undergraduates completed one of three versions of a questionnaire, each evoking a different target group: immigrants in general, Moroccans, Chinese. We predicted that the effects of SDO on acculturation orientations would be mediated by realistic threat in the employment domain and by symbolic threat in the culture domain; both threats should mediate the SDO-intergroup attitudes and emotions relationship. Results showed, partially supporting predictions, mediation effects by realistic threat on integradonism (employment domain), intergroup attitudes and emotions, and by symbolic threat on assimilationism (culture domain). Evidence of moderated mediation emerged in the path from predictor to mediator: SDO increased realistic threat more for immigrants in general and Moroccans than for Chinese. Theoretical and practical implications of findings are discussed. (PsycINFO Database Record (c) 2016 APA, all rights reserved)</t>
  </si>
  <si>
    <t>Kalafi, Y.; Hagh-Shenas, H.; Ostovar, A.</t>
  </si>
  <si>
    <t>Mental health among Afghan refugees settled in Shiraz, Iran</t>
  </si>
  <si>
    <t>0033-2941</t>
  </si>
  <si>
    <t>10.2466/PR0.90.1.262-266</t>
  </si>
  <si>
    <t>http://search.ebscohost.com.proxy-ub.rug.nl/login.aspx?direct=true&amp;db=psyh&amp;AN=2002-02501-040&amp;site=ehost-live&amp;scope=site</t>
  </si>
  <si>
    <t>This study was designed to investigate the mental health of Afghan refugees settled in Shiraz, the capital of a southern Province of Iran. They were mostly refugees from Afghanistan by reason of internal war during the last two decades. A version of the General Health Questionnaire (GHQ-28) in Persian was administered on 81 randomly selected male Afghan refugees (aged 18-68 yrs) from a pool of Afghan residents in the Shiraz district. 34.5% of the Ss scored high enough to be considered as having psychiatric problems. There was a significant positive correlation between refugees' years of age and GHQ-28 factor scores, i.e., Physical Health and Social Functioning. The mental health of the Ss was not related to education or marital status. The years of settling in Iran were not significantly correlated with any GHQ-28 indices. The overall findings suggest that the rate of psychiatric problems in the refugees is higher than in the native population. (PsycINFO Database Record (c) 2016 APA, all rights reserved)</t>
  </si>
  <si>
    <t>Cummings, Sherry; Sull, Linnet; Davis, Cindy; Worley, Natalie</t>
  </si>
  <si>
    <t>Correlates of depression among older Kurdish refugees</t>
  </si>
  <si>
    <t>0037-8046</t>
  </si>
  <si>
    <t>10.1093/sw/56.2.159</t>
  </si>
  <si>
    <t>http://search.ebscohost.com.proxy-ub.rug.nl/login.aspx?direct=true&amp;db=psyh&amp;AN=2011-08522-007&amp;site=ehost-live&amp;scope=site</t>
  </si>
  <si>
    <t>Little is known about the psychological status of older refugees who have immigrated from war-torn areas in the Middle East. This study examined the nature and predictors of depression among older Kurds living in one city in the United States. Older Kurds (N = 70) were recruited and surveyed by trained Kurdish interviewers in their native dialect. The majority of participants had very low incomes; had no education; were illiterate in their own language; and had little to no ability to speak, read, or write English. Elevated levels of depression were found, with 67.1 percent scoring above the clinical cutoff for depression and 25. 7 percent scoring in the severe depression range. Depression was associated with demographic (age), stressor (migratory grief, death of spouse, number of medical conditions, functional disability, and income), and coping (English proficiency and social support) variables. Health conditions exerted the greatest effect. Migratory grief and social support were also significant predictors of depression. Results suggest substantial psychological distress among this understudied population of older refugees. Implications for research and practice with older members of newly established refugee populations are discussed. (PsycINFO Database Record (c) 2018 APA, all rights reserved)</t>
  </si>
  <si>
    <t>Miller, Matthew J.; Yang, Minji; Farrell, Jerome A.; Lin, Liâ€Ling</t>
  </si>
  <si>
    <t>Racial and cultural factors affecting the mental health of Asian Americans</t>
  </si>
  <si>
    <t>10.1111/j.1939-0025.2011.01118.x</t>
  </si>
  <si>
    <t>http://search.ebscohost.com.proxy-ub.rug.nl/login.aspx?direct=true&amp;db=psyh&amp;AN=2011-23263-009&amp;site=ehost-live&amp;scope=site</t>
  </si>
  <si>
    <t>In this study, we employed structural equation modeling to test the degree to which racism-related stress, acculturative stress, and bicultural self-efficacy were predictive of mental health in a predominantly community-based sample of 367 Asian American adults. We also tested whether bicultural self-efficacy moderated the relationship between acculturative stress and mental health. Finally, we examined whether generational status moderated the impact of racial and cultural predictors of mental health by testing our model across immigrant and U.S.-born samples. Results indicated that our hypothesized structural model represented a good fit to the total sample data. While racism-related stress, acculturative stress, and bicultural self-efficacy were significant predictors of mental health in the total sample analyses, our generational analyses revealed a differential predictive pattern across generational status. Finally, we found that the buffering effect of bicultural self-efficacy on the relationship between acculturative stress and mental health was significant for U.S.-born individuals only. Implications for research and service delivery are explored. (PsycINFO Database Record (c) 2016 APA, all rights reserved)</t>
  </si>
  <si>
    <t>How do host community members perceive immigrantsâ€™ intercultural adaptation? Development of the Ad-Scale</t>
  </si>
  <si>
    <t>Introduction: The aim of the study was to develop a scale (Ad-Scale) which could be used to measure the way in which host members perceive immigrantsâ€™ psychological and sociocultural adjustment. Methods: The study was articulated in three steps. Three groups of participants took part in the study (step 1 N = 77, step 2 N = 256, step 3 N = 236). A pool of 22 items reflecting intercultural adaptation was created. Exploratory and confirmative factor analyses were carried out in order to evaluate the factor structure of the Ad-scale. Results: A two-factor model emerged. The Ad-Scale seemed to be composed of two subscales, assessing respectively psychological and sociocultural perceived outcomes. The psychological adjustment subscale, composed of 7 items, referred to personal satisfaction, psychological well-being, quality of contact with outgroup members. The sociocultural adaptation subscale, composed of 5 items, referred to some difficulties the immigrants could find in the host community. Conclusions: Results showed the Ad-Scale to be a good instrument for measuring the way in which host members perceive immigrantsâ€™ intercultural adjustment. (PsycINFO Database Record (c) 2016 APA, all rights reserved)</t>
  </si>
  <si>
    <t>Adewale, Oluremi R.</t>
  </si>
  <si>
    <t>Psychological stress of Nigerian immigrants in the Greater Toronto area</t>
  </si>
  <si>
    <t>http://search.ebscohost.com.proxy-ub.rug.nl/login.aspx?direct=true&amp;db=psyh&amp;AN=2017-43829-036&amp;site=ehost-live&amp;scope=site</t>
  </si>
  <si>
    <t>Migration has significant consequences on the psychological health of immigrants. This research explored the psychological stress of migration and acculturation among Nigerian immigrants who attended a church in GTA. Self-administered, self-report questionnaires, including selected variables, were entered into SPSS and t-test or chi-square tests were conducted. In total, n = 172 subjects age 18 years or older were analyzed. High or low psychological stress was examined using the ASSIS 36 items scale and three subscales. The ASSIS overall scale scores of &amp;ge; 109 indicate high levels of acculturative stress. Subjects were categorized as having low stress (score &amp;le; 109) versus high stress (&amp;ge; 109). The results shown, 82.0% of the population scored &lt;109 and 18% scored &amp;ge; 109 on the ASSIS questionnaire. The results have implications for a change in the immigration policy and the development and implementation of policies, programs, and services to address the needs of immigrants' psychological stress. (PsycINFO Database Record (c) 2017 APA, all rights reserved)</t>
  </si>
  <si>
    <t>Graca, Rosemeire Odahara</t>
  </si>
  <si>
    <t>Art history teaching in teacher education in southern Brazil: A study of an alternative programme and its relation to cultural identity and social aspirations</t>
  </si>
  <si>
    <t>http://search.ebscohost.com.proxy-ub.rug.nl/login.aspx?direct=true&amp;db=psyh&amp;AN=2018-00718-117&amp;site=ehost-live&amp;scope=site</t>
  </si>
  <si>
    <t>This thesis provides a critical account of a practitioner research project in which an alternative art history teaching programme was designed and undertaken in 2002-2003. This was run as part of a fine arts teacher-training course at a culturally-diverse college in Southern Brazil. The project arose from a perceived need to transform art history teaching in Southern Brazil from being an instrument of acculturation to a process of cultural empowerment, and to enable it to be more closely aligned to the current requirements of preparing art teachers to be educators of culturally reflective visual readers. The design of the alternative programme requires changes in course content and teaching strategies. The research into the processes and impact of the alternative programme involved collecting data through observations, semi-structured interviews (individual and group), questionnaires, and tasks (assignments, reading, and critical appraisals). The analysis of this data showed that changes were possible without impairing the students' engagement with art history as a field of study. It was also found that art education and history can play a role in shaping the aspirations of immigrant families and their plans for social mobility, in examining the influence of their descendants' education in the arts on their families' plans for social mobility, it became apparent that Eurocentric art history education, which the alternative programme had sought to avoid, could still be appropriate to the social context of the students because of the value placed on it by their families. The findings of the study suggest that the students benefited from the changes introduced to the teaching programme since they led them to reflect on their own social and cultural structures, and allow them to become teachers able to employ the kind of art history teaching they prefer, even if it retains Eurocentric features. (PsycINFO Database Record (c) 2018 APA, all rights reserved)</t>
  </si>
  <si>
    <t>Assessing the factors influencing financial market participation among African born immigrants in Connecticut</t>
  </si>
  <si>
    <t>Choi, Yoonsun; Harachi, Tracy W.</t>
  </si>
  <si>
    <t>The cross-cultural equivalence of the Suinn-Lew Asian Self-Identity Acculturation Scale among Vietnamese and Cambodian Americans</t>
  </si>
  <si>
    <t>1521-3668</t>
  </si>
  <si>
    <t>http://search.ebscohost.com.proxy-ub.rug.nl/login.aspx?direct=true&amp;db=psyh&amp;AN=2002-04033-002&amp;site=ehost-live&amp;scope=site</t>
  </si>
  <si>
    <t>Given the anticipated, continued influx of immigrants in the 21st century, more attention should be given to clarifying the concept of acculturation and better understanding its relationship to a variety of psychosocial outcomes. Past studies examining these relationships have not been entirely consistent. A number of factors may provide an explanation for the inconsistency, including a lack of common definition of acculturation, utilization of disparate instruments across studies, and an inattention to measurement equivalency across immigrant groups. This study investigates the third issue, measurement equivalency of the Suinn-Lew Asian Self-Identity Acculturation Scale (R. Suinn et al, 1987) among a sample of 259 Vietnamese and Cambodian immigrant mothers (mean age 40 yrs) in the US. The results suggest that the scale may not have measurement equivalence across these two Southeast Asian samples. Hence, caution is needed in interpreting data collecting using this measure. (PsycINFO Database Record (c) 2016 APA, all rights reserved)</t>
  </si>
  <si>
    <t>Empathic family stress as a sign of family connectedness in Haitian immigrants</t>
  </si>
  <si>
    <t>0014-7370</t>
  </si>
  <si>
    <t>The role of majority attitudes towards out-group in the perception of the acculturation strategies of immigrants</t>
  </si>
  <si>
    <t>Mutual attitudes among immigrants and ethnocultural groups in Canada</t>
  </si>
  <si>
    <t>10.1016/j.ijintrel.2006.06.004</t>
  </si>
  <si>
    <t>http://search.ebscohost.com.proxy-ub.rug.nl/login.aspx?direct=true&amp;db=psyh&amp;AN=2006-20498-007&amp;site=ehost-live&amp;scope=site</t>
  </si>
  <si>
    <t>The domain of intercultural relations comprises two parallel sets of phenomena: acculturation and ethnic relations. These have usually been studied in isolation from each other, but their intersection is of increasing importance for understanding intercultural relations in plural societies. Although this mutual view of intercultural relations has long been recognised, there has been an imbalance in the research carried out: acculturation studies have been predominantly done with the non-dominant groups, and ethnic attitudes have been studied mainly among dominant populations. Beginning in the 1970s, we began a program of research to redress this imbalance with studies in Canada. We examined the acculturation expectations held by the dominant population with respect to immigrants and ethnocultural groups, using the concept of multicultural ideology; we also examined the ways in which dominant groups change and respond to the presence of such groups using concepts of security (both cultural and economic), tolerance, and ethnic attitudes. More recently, we have developed a research instrument to continue this program. The International Study of Attitudes Towards Immigration and Settlement examines the views of members of various ethnocultural groups in a number of countries. This paper reviews the research framework and some findings from these studies among various members of the larger society. The role of a number of demographic and psychological variables related to attitudes toward the kinds and numbers of immigrants are presented. Some conclusions and implications are then discussed. (PsycINFO Database Record (c) 2016 APA, all rights reserved)</t>
  </si>
  <si>
    <t>Montreuil, Annie; Bourhis, Richard Y.</t>
  </si>
  <si>
    <t>Acculturation orientations of competing host communities toward valued and devalued immigrants</t>
  </si>
  <si>
    <t>10.1016/j.ijintrel.2005.01.002</t>
  </si>
  <si>
    <t>http://search.ebscohost.com.proxy-ub.rug.nl/login.aspx?direct=true&amp;db=psyh&amp;AN=2005-05540-003&amp;site=ehost-live&amp;scope=site</t>
  </si>
  <si>
    <t>This study explored how members of competing host communities may endorse different acculturation orientations towards valued and devalued immigrants settled in the bilingual city of Montreal. Francophone (N = 422) and Anglophone (N = 401) host community students from low-, medium- and high-ethnic diversity colleges completed the host community acculturation scale (HCAS) along with a questionnaire monitoring a range of social psychological correlates of acculturation orientations. Results showed that Anglophones were more integrationist and individualist and less assimilationist than Francophones. Both Francophones and Anglophones were more integrationist and individualist and less assimilationist, segregationist and exclusionist toward valued than devalued immigrants. Attending a multiethnic college had no influence on respondents' acculturation orientations. The more welcoming acculturation orientations of Anglophones compared to Francophones was corroborated by results obtained with immigrants attending the French and the English colleges. Social psychological profiles of the respective acculturation orientations were similar across both host communities thus supporting the construct validity of the HCAS. Attitude toward co-national outgroup was a significant determinant of each acculturation orientations, suggesting that intergroup relations between rival host communities has an impact on acculturation orientations toward immigrants. (PsycINFO Database Record (c) 2016 APA, all rights reserved)</t>
  </si>
  <si>
    <t>Acculturation orientations towards Israeli Arabs and Jewish immigrants in Israel</t>
  </si>
  <si>
    <t>Feasibility of conducting a longitudinal, transnational study of Filipino migrants to the United States: A dual-cohort design</t>
  </si>
  <si>
    <t>1049-2089</t>
  </si>
  <si>
    <t>Ron, Pnina</t>
  </si>
  <si>
    <t>The process of acculturation in Israel among elderly immigrants from the former Soviet Union</t>
  </si>
  <si>
    <t>Illness, Crisis, &amp; Loss</t>
  </si>
  <si>
    <t>1054-1373</t>
  </si>
  <si>
    <t>10.1177/105413730100900403</t>
  </si>
  <si>
    <t>http://search.ebscohost.com.proxy-ub.rug.nl/login.aspx?direct=true&amp;db=psyh&amp;AN=2001-11523-003&amp;site=ehost-live&amp;scope=site</t>
  </si>
  <si>
    <t>Examines the main difficulties facing elderly immigrants from the former Soviet Union (FSU) and the effect these problems have on their well-being during their acculturation in Israel. Ss were 334 immigrants from the FSU aged â‰¥60 yrs who were chosen at random from 13 senior citizen centers in northern Israel. Ss were administered a questionnaire in Russian which examined demographic variables, possible difficulties divided into 3 levels (interpersonal-expressive, mental-cultural, and instrumental), and Ss' reports of their present sense of personal, mental, and social well-being. Results indicated that the independent variables predicted about 20% of the differences as explained in relation to the level of the Ss' subjective health, with expressive difficulties being the most influential independent variable. The authors conclude that different levels of difficulties have a large influence on the degree of absorption of elderly immigrants from the FSU into Israel; these difficulties affect the degree of different senses of well-being felt by these immigrants and their level of health. (PsycINFO Database Record (c) 2016 APA, all rights reserved)</t>
  </si>
  <si>
    <t>Psychotic symptoms and general health in a socially disadvantaged migrant community in Bologna</t>
  </si>
  <si>
    <t>Background and aims: Social exclusion and reduced access to community health services can lead to urgent health problems among immigrants; this may explain their increasing rate of admittance to psychiatric inpatient units. This cross-sectional study aims to evaluate the prevalence of psychotic symptoms among Romanian immigrants living in very poor conditions at an abandoned hotel in Bologna and to highlight the possible correlation with general health status, distress and sociodemographic characteristics. Methods: The Psychosis Screening Questionnaire (PSQ) and General Health Questionnaire-12 (GHQ-12) were administered to all immigrants residing at the hotel during two index days with the help of a cultural mediator. Socio-demographic, migration and health characteristics were also collected. Results: Sixty eight subjects were evaluated. More than 80% had left Romania for economic reasons. Of immigrants, 57% exceeded the four-point GHQ-12 threshold of potential mental disorder and 19% scored positively at the PSQ. Immigrants with positive PSQ showed higher mean GHQ-12 scores (5.9 Â± 3.5 vs. 3.8 Â± 2.75; p = 0.02). The development of post-migration health problems significantly predicts positive PSQ cases even after adjusting for age, sex and GHQ-12 dichotomized score (OR = 21.2, CI = 1.1â€“169.4). Conclusion: This community of immigrants living in deprived conditions showed a high prevalence of distress and psychotic symptoms, related to health problems. Preventing excess of psychosis among immigrants and ethnic minorities in critical socio-economic conditions should mean, first and foremost, facilitating social integration and access to primary care. (PsycINFO Database Record (c) 2016 APA, all rights reserved)</t>
  </si>
  <si>
    <t>Second language anxiety among Latino American immigrants in Australia</t>
  </si>
  <si>
    <t>1367-0050</t>
  </si>
  <si>
    <t>Research into second language anxiety (SLA) has largely focused on second language learners rather than immigrants. However, living in an environment where the target language (TL) is the language of everyday communication may constitute a significant source of anxiety that generalises beyond the language classroom [Pappamihiel, N. E. 2001. 'Moving from the ESL Classroom into the Mainstream: An Investigation of English Language Anxiety in Mexican Girls.' Bilingual Research Journal 25: 31â€“39. doi:10.1080/15235882.2001.10162783; Rose, Glenda. 2008. 'Language Acculturation Anxiety in Spanish Apeaking Adult Immigrants Learning English in the United States.' PhD diss., University of Texas. Available from ProQuest Dissertations and Theses database (UMI No. 3315370); Woodrow, L. 2006. 'Anxiety and Speaking English as a Second Language.' RELC Journal 37: 308â€“328. doi:10.1177/0033688206071315]. This study explored SLA across different social contexts in a sample of 190 adult immigrants from Latin America to Australia who spoke Spanish as their first language (L1) and English as their second language (L2). The aims were to (a) investigate the presence and severity of SLA among L2 long-term immigrants, and (b) examine sources of individual differences in SLA. Results indicated that SLA exists among L2 immigrants at moderate, high and very high levels, and that levels of anxiety vary significantly across social contexts. Self-perceived L2 proficiency was found to be the strongest predictor of SLA followed by extroversion and age, with higher scores on all three variables associated with lower SLA. Gender, education level, duration of residency in Australia, and emotional stability did not predict SLA in any of the contexts. These findings suggest that SLA is a significant problem for adult immigrants, permeating most aspects of their everyday lives. Practical implications and recommendations for future research are discussed. (PsycINFO Database Record (c) 2017 APA, all rights reserved)</t>
  </si>
  <si>
    <t>Who intends to learn and who intends to leave? The intention to leave education early among students from inclusive and regular classes in primary and secondary schools</t>
  </si>
  <si>
    <t>0924-3453</t>
  </si>
  <si>
    <t>Early school leaving is a serious problem for individual students, especially for students with special educational needs (SEN). This study tests predictors of early school leaving, using data collected among 1,047 students from 60 inclusive and regular classes in primary and secondary schools in Austria with 4th- and 7th-grade students aged 9â€“11 and 12â€“14 years. Multilevel regression analyses show that higher school wellbeing and a more positive studentâ€“teacher relationship reduce the intention of both 4th and 7th graders to leave school early. Additionally, for 7th graders, having a migrant background and more individualised instruction are predictors of a greater intention to leave school early. School grade, gender, socioeconomic background, SEN, social integration, class climate, school setting (regular class vs. inclusive class), and the heterogeneity of the class composition had no impact on the intention to leave school early. (PsycINFO Database Record (c) 2020 APA, all rights reserved)</t>
  </si>
  <si>
    <t>Ben-David, Amith</t>
  </si>
  <si>
    <t>Family functioning and migration: Considerations for practice</t>
  </si>
  <si>
    <t>Journal of Sociology and Social Welfare</t>
  </si>
  <si>
    <t>0191-5096</t>
  </si>
  <si>
    <t>http://search.ebscohost.com.proxy-ub.rug.nl/login.aspx?direct=true&amp;db=psyh&amp;AN=1996-14153-001&amp;site=ehost-live&amp;scope=site</t>
  </si>
  <si>
    <t>Examined how Israeli social workers perceive the family functioning of immigrant families in relation to the process of migration and absorption in a new culture. 81 Ss (mean age 35 yrs) completed questionnaires dealing with immigrants from the former Soviet Union, and 63 Ss (mean age 35 yrs) completed those dealing with Ethiopian immigrants. Questionnaires dealing with child abuse, neglect of the elderly and the Family Adaptability and Cohesion Evaluation Scale were also administered. Regardless of the issue being treated, there were differences in how social workers perceived family adaptability in the 2 countries. Though migrant families from both were perceived as less adaptable and more cohesive than the norm, the former Soviet Union families were seen as more cohesive and less adaptable than Ethiopian families. Ss perceived the family as more dysfunctional when they dealt with child abuse than with elder neglect. (PsycINFO Database Record (c) 2016 APA, all rights reserved)</t>
  </si>
  <si>
    <t>Factors that influence suicidal ideation among elderly Korean immigrants: Focus on diatheses and stressors</t>
  </si>
  <si>
    <t>Objectives: The study examined major diatheses and stressors directly related to suicidal ideation among elderly Korean immigrants. The study also explored the significant interactions among these factors.Method: Data were collected from a cross-sectional survey of 220 elderly Korean immigrants (age â‰¥ 65) in Los Angeles County.Results: Using a robust hierarchical regression, the study found that neuroticism and hopelessness were significantly associated with suicidal ideation. In addition, two interaction terms â€“ neuroticism by hopelessness and neuroticism by acculturation â€“ were both significant predictor variables with strong explanatory power.Conclusion: The theoretical implications as well as the practical implications for developing and implementing late-life suicide prevention strategies are discussed. (PsycINFO Database Record (c) 2017 APA, all rights reserved)</t>
  </si>
  <si>
    <t>The Relative Contribution of Posttraumatic and Accusative Stress to Subjective Mental Health Among Bosnian Refugees</t>
  </si>
  <si>
    <t>0021-9762</t>
  </si>
  <si>
    <t>Using the Portuguese version of the Bicultural Scale in Brazil</t>
  </si>
  <si>
    <t>2237-6089</t>
  </si>
  <si>
    <t>Introduction: Brazil has received influxes of people, mainly from Africa, Europe and Japan, forming one of the most heterogeneous populations in the world. Some groups, particularly in Southern Brazil, have retained their original cultural traditions, whilst acquiring elements of the typical local Brazilian cultural identity. This is the first study designed to formally evaluate biculturality in Brazil. Objective: To psychometrically assess and validate the Portuguese version of the Bicultural Scale (BS) in Brazil. Methods: The BS was adapted and translated to Portuguese and tested for the first time in Brazil in a sample of descendants (n = 160) from four immigrant groups and respective locations in Southern Brazil. A series of psychometric tests were conducted in order to examine the validity of the Portuguese version of the BS. Analyses of variance across scores for all subgroups were also conducted. Results: Factor analysis revealed two main factors contributing to most of the variance in scores. The 10 items measuring affiliation with minority cultural characteristics and the typical Brazilian culture yielded Cronbachâ€™s alpha coefficients of 0.69 and 0.78 respectively, whereas the overall Cronbachâ€™s alpha for all 20 items of the BS was 0.67. There was a significant correlation between items related to the typical Brazilian culture and the generation since immigration of research participants (r = 0.23, p = 0.004). The mean time taken to complete the questionnaire was 7.4 minutes. Conclusion: The results indicate that the Portuguese version of the BS is a valid, reliable and easy-to-use instrument to assess biculturality experienced by descendants of immigrants in southern Brazil. (PsycINFO Database Record (c) 2016 APA, all rights reserved)</t>
  </si>
  <si>
    <t>Acculturation specific and general hassles and positive psychological functioning</t>
  </si>
  <si>
    <t>1735-305X</t>
  </si>
  <si>
    <t>Vyas, Amita N.; Chaudhary, Nitasha; Ramiah, Kalpana; Landry, Megan</t>
  </si>
  <si>
    <t>Addressing a growing communityâ€™s health needs: Project SAHNA (South Asian Health Needs Assessment)</t>
  </si>
  <si>
    <t>10.1007/s10903-012-9655-x</t>
  </si>
  <si>
    <t>http://search.ebscohost.com.proxy-ub.rug.nl/login.aspx?direct=true&amp;db=psyh&amp;AN=2013-14543-016&amp;site=ehost-live&amp;scope=site</t>
  </si>
  <si>
    <t>Limited data and research is available on the health issues faced by the South Asian population, especially for those living in the Washington, DC metropolitan area. Online and in-person surveys were administered to a convenience sample (n = 709) of South Asians living in the metropolitan Washington DC region. The survey gathered information on socio-demographics and acculturation; health care access and utilization; sources of health information; perceptions of community health; physical activity and smoking. While over 70 % of participants had a routine physical exam in the last 12 months, foreign born and less acculturated adults were less likely to have had a routine visit in the last 12 months. Internet (76.9 %) and physicians (76.1 %) are key sources of health information for South Asians. Only 29 % of South Asians are engaging in the recommended amount of physical activity per week. The results of this study provide guidance for future work in addressing the health and well-being of South Asian communities in the United States. (PsycINFO Database Record (c) 2019 APA, all rights reserved)</t>
  </si>
  <si>
    <t>What's to Fear from Immigrants? Creating an Assimilationist Threat Scale</t>
  </si>
  <si>
    <t>An examination of the relationship between acculturation level and PTSD among Central American immigrants in the United States</t>
  </si>
  <si>
    <t>The purpose of this study was to examine the relationship between acculturation level and posttraumatic stress disorder (PTSD) prevalence in Central American immigrants in the United States. Central American immigrants represent a population that is a part of the Latino/Hispanic Diaspora in the United States. By the year 2050 the United States population will experience a great change in the ethnic/racial demographics and most will be former minorities comprising over 45% racial minorities (U.S. Census, 2005). Thus, it becomes more important for counselor educators and other helping professionals to understand how to adequately assess the 'Latino' and be culturally sensitive â€” especially since Central American immigrants come from diverse backgrounds, and although they may be labeled 'Hispanic,' there is diversity within groups of ethnic minorities. This dissertation examined the research hypotheses: There is a relationship between acculturation level and PTSD among Central American immigrants in the United States. In addition, there are predictive relationships among the demographic variables. The null hypotheses presented are: There is no relationship between acculturation level and PTSD among Central American immigrants in the United States and additionally, there are no predictive relationships among the demographic variables. A Pearson correlation design was done to assess statistical significance (both positive and negative), and to examine if there was a relationship between acculturation level and PTSD. The alpha level was set at a significance level of .05. A standard Multiple Regression design was utilized to assess predictive relationships among the demographic variables with PTSD severity: migration reason, age, gender, migration year, and marital status. The sample represented an n = 63 out of 100 participants who volunteered to participate in the study. The results show that there was a relationship between acculturation level and PTSD among Central American immigrants. Several instruments were utilized for this dissertation research to assess both acculturation level and prevalence or lack of PTSD severity. The AMAS-ZABB (Abbreviated Multidimensional Acculturation Scale) and the PCL-C (Posttraumatic Stress Disorder Checklist for Civilians) were utilized in this study. The results showed a positive correlation between acculturation level (U.S. identity, r = .289), Latino identity (r = .281), and PTSD. At an alpha level of Î± .01, age was positively correlated (r = .684) and acculturation level (English language) was negatively correlated with PTSD (r = -.465). Multiple R for regression was statistically significant when examining the demographic variables of age, acculturation level (English Language) and migration reason. The results were also statistically significant in predicting PTSD severity. (PsycINFO Database Record (c) 2016 APA, all rights reserved)</t>
  </si>
  <si>
    <t>When attitudes do not fit: Discordance of acculturation attitudes as an antecedent of intergroup threat</t>
  </si>
  <si>
    <t>Ekblad, Solvig; Abazari, Azra; Eriksson, Nils-Gustaf</t>
  </si>
  <si>
    <t>Migration stress-related challenges associated with perceived quality of life: A qualitative analysis of Iranian refugees and Swedish patients</t>
  </si>
  <si>
    <t>10.1177/136346159903600307</t>
  </si>
  <si>
    <t>http://search.ebscohost.com.proxy-ub.rug.nl/login.aspx?direct=true&amp;db=psyh&amp;AN=1999-11831-004&amp;site=ehost-live&amp;scope=site</t>
  </si>
  <si>
    <t>Compared quality-of-life (QoL) ratings of Iranian refugee medical patients in Sweden with ethnic Swedish medical patients, for the purpose of examining the relationship between stressful life events and health. Two-hr interviews were conducted in Persian with 5 male and 9 female Iranian refugees and in Swedish with 2 male and 6 female Swedish patients. All Ss were seeking medical attention for conditions possibly related to stress. Administered tests included the Harvard Trauma Questionnaire and the Impact of Event Scale. Ss provided definitions of a 'good QoL' and possible avenues for improvement. Responses were correlated with the World Health Organization's 1994 QoL study. Swedish Ss emphasized self esteem more than Iranians, who based QoL on satisfactory relations with others. It is concluded that clinicians must be aware of the sociocultural context in assessing QoL, and that host countries should know what QoL issues are important for new refugees. (PsycINFO Database Record (c) 2016 APA, all rights reserved)</t>
  </si>
  <si>
    <t>Psychological homelessness and enculturative stress among US-deported Salvadorans: A preliminary study with a novel approach</t>
  </si>
  <si>
    <t>The purpose of this study was to examine the construct psychological homelessnessâ€”feelings of not belonging in oneâ€™s home countryâ€”within the context of deported Salvadoransâ€™ enculturation to El Salvador. Participants (n = 66) who had been deported from the United States completed a set of questionnaires related to their deportation experience. Results indicated that deportees, in various degrees, experienced the phenomenon of psychological homelessness and enculturative stress related to living in El Salvador. As hypothesized, enculturative stress related to re-adapting to life in El Salvador significantly correlated with psychological homelessness after controlling for time spent in the United States, acculturation, and enculturation. Additional analyses revealed that maladaptive cognitions related to the deportation experience also predicted psychological homelessness. Our findings suggest psychological homelessness appears to be a valid construct and is experienced by many undocumented immigrants. (PsycINFO Database Record (c) 2016 APA, all rights reserved)</t>
  </si>
  <si>
    <t>re-migration</t>
  </si>
  <si>
    <t>Do cultural and generational cohorts matter to ideologies and consumer ethics? A comparative study of Australians, Indonesians, and Indonesian Migrants in Australia</t>
  </si>
  <si>
    <t>0167-4544</t>
  </si>
  <si>
    <t>We explore the notion that culture influences peopleâ€™s values, and their subsequent ideologies and ethical behaviors. We present the idea that culture itself changes with time, and explore the influence of culture and generational markers on consumer ethics by examining differences in these ethical dimensions between Australians, Indonesians, and Indonesian Migrants in Australia, as well as differences between Generation X versus Generations Y and Z. The present study addresses the need to investigate the role that culture plays in consumer ethics, and the interaction between culture and generational attitudes in determining consumer ethics. Results established a distinct multiculturality in our three cultural samples, including a generational cohort differences. This suggests that culture and generational markers influence ethical beliefs, ideologies, and consumer ethics. It further indicates that Indonesian Migrants have acculturated to Australian society both in terms of their values and consumer behaviors, illustrating a crossvergence effect; scores indicate that these Migrants have the highest cultural intelligence among our samples. Implications of the findings for consumer ethics theory and practice are considered and future directions identified. (PsycINFO Database Record (c) 2018 APA, all rights reserved)</t>
  </si>
  <si>
    <t>Immigrant entrepreneurship from a social psychological perspective</t>
  </si>
  <si>
    <t>TÃ¶rmÃ¤nen, Minna R. K.; Roebers, Claudia M.</t>
  </si>
  <si>
    <t>Developmental outcomes of children in classes for special educational needs: Results from a longitudinal study</t>
  </si>
  <si>
    <t>1471-3802</t>
  </si>
  <si>
    <t>This longitudinal study investigates the differences in cognitive and socioâ€emotional development and academic achievement between children educated in special education classes (N = 37) and regular classes (N = 37). The study is retrospective. The first measurement point was while children were attending playâ€oriented kindergarten and no decision about their education had yet been made. The second measurement point followed after 2 years of schooling. Comparing carefully matched groups, no differences in executive functions (EFs) were found before beginning school. Children assigned to special education had poorer language, fine motor skills and a lower preâ€academic selfâ€concept, selfâ€regulatory skills and social integration. Notably, every fourth child in special education was an immigrant, 9% of whom later attended regular classes. After 2 years of schooling in either setting, the groups differed significantly in academic achievement, EFs, fine motor skills and cognitive selfâ€regulatory skills. However, it was notâ€”as school officials had intendedâ€”that children in special education classes had caught up, except in regard to their academic selfâ€concept and social integration. (PsycINFO Database Record (c) 2019 APA, all rights reserved)</t>
  </si>
  <si>
    <t>A validation of HCAS: The Host Community Acculturation Scale</t>
  </si>
  <si>
    <t>Reeves, Roxanne B.</t>
  </si>
  <si>
    <t>Inter-cultural mentoring for newcomer immigrants: Mentor perspectives and better practices</t>
  </si>
  <si>
    <t>International Journal of Evidence Based Coaching and Mentoring</t>
  </si>
  <si>
    <t>1741-8305</t>
  </si>
  <si>
    <t>http://search.ebscohost.com.proxy-ub.rug.nl/login.aspx?direct=true&amp;db=psyh&amp;AN=2017-49200-012&amp;site=ehost-live&amp;scope=site</t>
  </si>
  <si>
    <t>The objective of this study was to draw from mentor feedback and reflections and examine the practices of mentors successful in mentoring immigrant newcomers. The paper reports on how mentors related the competencies they reported as foundational for decoding, absorbing, and transferring tacit/explicit knowledge holdings. Capturing rich insights, the guidelines for best practice are presented for mentoring of immigrant newcomer mentees in smaller/medium cities (SMC) with emerging immigrant populations. Findings identify seven key themes by mentors: menteesâ€™ culture, mentorsâ€™ cultural self-awareness, building relationality and accessibility, sponsorship, deep learning, racism, and small city truths as they influence (a) knowledge transfer and personal learning within the dyad, (b) acculturation/adaptation, and (c) perceived business and network gains on the part of the mentee. This paper also petitions for clarification of the multiple meanings accorded to the use of inter-cultural mentoring (ICM). A purposeful sampling strategy and best practice research (BPR) were employed for this research investigation. (PsycINFO Database Record (c) 2017 APA, all rights reserved)</t>
  </si>
  <si>
    <t>Wong, M.-L.; Arcos-Burgos, M.; Liu, S.; VÃ©lez, J. I.; Yu, C.; Baune, B. T.; Jawahar, M. C.; Arolt, V.; Dannlowski, U.; Chuah, A.; Huttley, G. A.; Fogarty, R.; Lewis, M. D.; Bornstein, S. R.; Licinio, J.</t>
  </si>
  <si>
    <t>The PHF21B gene is associated with major depression and modulates the stress response</t>
  </si>
  <si>
    <t>1359-4184</t>
  </si>
  <si>
    <t>Major depressive disorder (MDD) affects around 350 million people worldwide; however, the underlying genetic basis remains largely unknown. In this study, we took into account that MDD is a gene-environment disorder, in which stress is a critical component, and used whole-genome screening of functional variants to investigate the â€˜missing heritabilityâ€™ in MDD. Genome-wide association studies (GWAS) using single- and multi-locus linear mixed-effect models were performed in a Los Angeles Mexican- American cohort (196 controls, 203 MDD) and in a replication European-ancestry cohort (499 controls, 473 MDD). Our analyses took into consideration the stress levels in the control populations. The Mexican-American controls, comprised primarily of recent immigrants, had high levels of stress due to acculturation issues and the European-ancestry controls with high stress levels were given higher weights in our analysis. We identified 44 common and rare functional variants associated with mild to moderate MDD in the Mexican-American cohort (genome-wide false discovery rate, FDR, &lt;0.05), and their pathway analysis revealed that the three top overrepresented Gene Ontology (GO) processes were innate immune response, glutamate receptor signaling and detection of chemical stimulus in smell sensory perception. Rare variant analysis replicated the association of the PHF21B gene in the ethnically unrelated European-ancestry cohort. The TRPM2 gene, previously implicated in mood disorders, may also be considered replicated by our analyses. Whole-genome sequencing analyses of a subset of the cohorts revealed that Europeanancestry individuals have a significantly reduced (50%) number of single nucleotide variants compared with Mexican-American individuals, and for this reason the role of rare variants may vary across populations. PHF21b variants contribute significantly to differences in the levels of expression of this gene in several brain areas, including the hippocampus. Furthermore, using an animal model of stress, we found that Phf21b hippocampal gene expression is significantly decreased in animals resilient to chronic restraint stress when compared with non-chronically stressed animals. Together, our results reveal that including stress level data enables the identification of novel rare functional variants associated with MDD. (PsycINFO Database Record (c) 2017 APA, all rights reserved)</t>
  </si>
  <si>
    <t>Ritsner, M.; Ponizovsky, A.; Chemelevsky, M.; Zetser, F.; Durst, R.; Ginath, Y.</t>
  </si>
  <si>
    <t>Effects of immigration on the mentally ill: Does it produce psychological distress?</t>
  </si>
  <si>
    <t>0010-440X</t>
  </si>
  <si>
    <t>10.1016/S0010-440X(96)90045-0</t>
  </si>
  <si>
    <t>http://search.ebscohost.com.proxy-ub.rug.nl/login.aspx?direct=true&amp;db=psyh&amp;AN=1996-02404-003&amp;site=ehost-live&amp;scope=site</t>
  </si>
  <si>
    <t>Investigated whether 158 nonpsychotic mentally ill immigrants react to acculturation with psychological distress similar to that of 222 immigrants with no psychiatric history. Ss completed the Demographic Psychosocial Inventory, Brief Symptom Inventory (BSI), and the Psychiatric Epidemiology Research Interview. While distress symptoms were more severe in mentally ill immigrants, the BSI profile, showing a high level of depression, anxiety, interpersonal sensitivity, and obsessive-compulsive dimensions, was similar in both groups. Psychological distress was higher in patients; the lowest distress level in patients was in those suffering from organic disorders. No differences in distress were found among other patient groups. (PsycINFO Database Record (c) 2016 APA, all rights reserved)</t>
  </si>
  <si>
    <t>Shalita, Daphne</t>
  </si>
  <si>
    <t>A multidimensional scaling analysis of critical incidents reported by Israeli immigrants (Yordim) to the United States</t>
  </si>
  <si>
    <t>http://search.ebscohost.com.proxy-ub.rug.nl/login.aspx?direct=true&amp;db=psyh&amp;AN=2001-95020-024&amp;site=ehost-live&amp;scope=site</t>
  </si>
  <si>
    <t>A multidimensional scaling analysis (MDS) was performed to study ten salient groupings of Israeli migrants' subjective experiences of cultural relocation to the United States. This study was exploratory in nature and intended to measure the ten critical incident scenarios that were elicited in an earlier Pilot study or Phase I (Shalita &amp; Spokane, 1997). Section I of the questionnaire (or Phase II) asked subjects to measure each of the ten critical incident scenarios against each other. Section II of the questionnaire asked Israeli and Non-Israeli participants to rate each of the ten critical incident scenarios against the theoretical underpinnings of each of five models of biculturalism (assimilation, acculturation, alternation, multiculturalism, and fusion) outlined by LaFromboise, et al's (1993) investigation entitled: 'Psychological impact of biculturalism: Evidence and theory.' One hundred twenty eight subjects (66 Israelis and 62 non-Israeli) returned completed questionnaires that were used for the MDS analysis. The (1) all subjects, (2) Israelis subjects only, and the (3) non-Israelis subjects only analyses all resulted in three-dimensional best-fitting solutions. The ten critical incident scenarios were best explained by the Assimilation, and Acculturation models of biculturalism. Recommendations for future research and insights fostering a better understanding of this population are delineated. (PsycINFO Database Record (c) 2016 APA, all rights reserved)</t>
  </si>
  <si>
    <t>Statistical analysis techniques based on cross-cultural research methods: Cross-cultural paradigms and intra-country comparisons</t>
  </si>
  <si>
    <t>1106-5737</t>
  </si>
  <si>
    <t>Stone, Elizabeth; Gomez, Erica; Hotzoglou, Despina; Lipnitisky, Jane Y.</t>
  </si>
  <si>
    <t>Transnationalism as a Motif in Family Stories</t>
  </si>
  <si>
    <t>10.1111/j.1545-5300.2005.00067.x</t>
  </si>
  <si>
    <t>http://search.ebscohost.com.proxy-ub.rug.nl/login.aspx?direct=true&amp;db=psyh&amp;AN=2006-05632-002&amp;site=ehost-live&amp;scope=site</t>
  </si>
  <si>
    <t>Family stories have long been recognized as a vehicle for assessing components of a family's emotional and social life, including the degree to which an immigrant family has been willing to assimilate. Transnationalism, defined as living in one or more cultures and maintaining connections to both, is now increasingly common. A qualitative study of family stories in the family of those who appear completely 'American' suggests that an affiliation with one's home country is nevertheless detectable in the stories via motifs such as (1) positively connotated home remedies, (2) continuing denigration of home country 'enemies,' (3) extensive knowledge of the home country history and politics, (4) praise of endogamy and negative assessment of exogamy, (5) superiority of home country to America, and (6) beauty of home country. Furthermore, an awareness of which model--assimilationist or transnational--governs a family's experience may help clarify a clinician's understanding of a family's strengths, vulnerabilities, and mode of framing their cultural experiences. (PsycINFO Database Record (c) 2016 APA, all rights reserved)</t>
  </si>
  <si>
    <t>Lay, Clarry; Nguyen, Thao</t>
  </si>
  <si>
    <t>The role of acculturation-related and acculturation non-specific daily hassles: Vietnamese-Canadian students and psychological distress</t>
  </si>
  <si>
    <t>10.1037/h0087060</t>
  </si>
  <si>
    <t>http://search.ebscohost.com.proxy-ub.rug.nl/login.aspx?direct=true&amp;db=psyh&amp;AN=1998-12022-003&amp;site=ehost-live&amp;scope=site</t>
  </si>
  <si>
    <t>Examined the separation of acculturation-related daily hassles and acculturation nonspecific hassles in their contribution to psychological distress. 30 male and 30 female university students who were Vietnamese immigrants to Canada completed measures of general hassles, family hassles, ingroup hassles (concerning interactions with Vietnamese ingroup members), and outgroup hassles (such as discrimination). Ss median length of residence was 9.5 yrs. general hassles and ingroup and outgroup hassles were each positively related to depression; the number of years since immigrating to Canada was negatively related. In a simultaneous multiple regression analysis predicting depression, acculturation-specific ingroup hassles, number of years in Canada, and acculturation nonspecific general hassles each contributed to the prediction. Number of years in Canada was found to moderate the relation of general hassles to depression. The varying importance of different categories of hassles across different ethnic groups and developmental stages was considered. (PsycINFO Database Record (c) 2016 APA, all rights reserved)</t>
  </si>
  <si>
    <t>Luthke, Martin F.; Cropley, Arthur J.</t>
  </si>
  <si>
    <t>Decision-making and adjustment difficulties: A counselling strategy for working with migrants</t>
  </si>
  <si>
    <t>10.1080/00050069008260008</t>
  </si>
  <si>
    <t>http://search.ebscohost.com.proxy-ub.rug.nl/login.aspx?direct=true&amp;db=psyh&amp;AN=1991-21110-001&amp;site=ehost-live&amp;scope=site</t>
  </si>
  <si>
    <t>Voluntary migration involves making a complex decision, which people frequently undertake with minimal information and little insight into the psychological factors involved. External models emphasize economic, political, and social factors, but neglect psychological elements such as personality, object relations, and motivation. The internal model presented here takes account of these elements and is supported by empirical observations from questionnaires and in-depth interviews of 30 would-be migrants to Australia from the Federal Republic of Germany and 40 actual migrants. A case of a young German couple who migrated to and from Australia is provided. (PsycINFO Database Record (c) 2016 APA, all rights reserved)</t>
  </si>
  <si>
    <t>Hilmers, Angela; BernabÃ©-Ortiz, Antonio; Gilman, Robert H.; McDermott, Ann Y.; Smeeth, Liam; Miranda, J. Jaime</t>
  </si>
  <si>
    <t>Rural-to-urban migration: Socioeconomic status but not acculturation was associated with overweight/obesity risk</t>
  </si>
  <si>
    <t>Ramos, Athena K.; Su, Dejun; Lander, Lina; Rivera, Roy</t>
  </si>
  <si>
    <t>Stress factors contributing to depression among Latino migrant farmworkers in Nebraska</t>
  </si>
  <si>
    <t>10.1007/s10903-015-0201-5</t>
  </si>
  <si>
    <t>http://search.ebscohost.com.proxy-ub.rug.nl/login.aspx?direct=true&amp;db=psyh&amp;AN=2015-50012-005&amp;site=ehost-live&amp;scope=site</t>
  </si>
  <si>
    <t>Migrant farmworkers represent a structurally vulnerable population coming to rural communities to work, but often are economically disadvantaged and socially isolated. Based on survey data from 200 migrant farmworkers in rural Nebraska in 2013, this study seeks to identify and categorize major stressors that have contributed to depression among farmworkers. Over 30 % of respondents were identified to have high stress levels as indicated by the Migrant Farmworker Stress Inventory (MFWSI). The MFWSI was categorized into eight domains: economics and logistics; acculturation and social isolation; relationship with partner; health; entertainment; concerns for children; and substance use by others. Nearly half (45.8 %) of respondents were depressed. Correlations between the principal component scores of the eight stressor domains and the cumulative depression score were significant for the domains: (1) economics and logistics and (2) health (r = 0.22, p &lt; 0.01). Findings highlight the importance of improving economic and living conditions as well as addressing social and cultural needs by creating more welcoming receiving communities. (PsycINFO Database Record (c) 2016 APA, all rights reserved)</t>
  </si>
  <si>
    <t>Wong, Lilian C. J.; Ishiyama, F. Ishu; Wong, Paul T. P.</t>
  </si>
  <si>
    <t>Exploring the world of meaning of ESL students</t>
  </si>
  <si>
    <t>http://search.ebscohost.com.proxy-ub.rug.nl/login.aspx?direct=true&amp;db=psyh&amp;AN=2000-07199-040&amp;site=ehost-live&amp;scope=site</t>
  </si>
  <si>
    <t>Argued that there is a need to consider cultural context and acculturation in counseling and assessing children from different ethnic backgrounds. It describes 2 assessment tools used to explore the world of personal meaning of ESL students: Ishiyama's Validitiongram and Wong's Personal Meaning Profile. Three cases of Chinese immigrants' children were chosen to illustrate how these instruments enabled the authors to look beneath the surface meanings of behavioral problems and uncover the deeper meanings of ESL children's frustrated needs and acculturative stress. This chapter describes 2 boys and 1 girl (aged 11â€“12 yrs old) from recent Chinese immigrants who were designated by the school districts as ESL students. It is sugested that all/3 cases revealed an indomitable human spirit in spite of the many school and family difficulties faced by ESL students. The authors maintain that the present meaning-centered approach to counseling and assessment has several advantages: (1) it focuses on the strengths, resilience and spirituality of clients; (2) it relies on narrative and story telling; and (3) it addresses racial identity development, family relationships, and cultural context from the child's perspective. (PsycINFO Database Record (c) 2016 APA, all rights reserved)</t>
  </si>
  <si>
    <t>GarduÃ±oâ€Diaz, S. D.; Khokhar, S.</t>
  </si>
  <si>
    <t>South Asian dietary patterns and their association with risk factors for the metabolic syndrome</t>
  </si>
  <si>
    <t>0952-3871</t>
  </si>
  <si>
    <t>Background: Certain dietary patterns have been associated with higher risk of noncommunicable diseases, with South Asians identified as a high-risk group. The present study aimed to identify the association between dietary patterns and the metabolic syndrome (MS) in South Asians living in the UK. Methods: Dietary patterns were derived by principal component analysis from 15 different food groups using an ethnic-specific food frequency questionnaire. MS risk factors, including obesity and hypertension, were measured, whereas existing conditions of dyslipidaemia and hyperglycaemia were self-reported. Participants (n = 100) were divided into quartiles based on dietary factor scores and the link between dietary patterns and risk factors was investigated. Results: Three different patterns were derived, which together explained 46% of the total diet variation; eastern pattern, mixed pattern and western pattern. An inverse correlation was found between the eastern pattern and education P = 0.05). A direct correlation was found between the western pattern and physical activity (P = 0.05) and the overall risk of MS (P = 0.05). Body composition was altered as residence time in the UK increased, with a reduction in muscle mass (29â€“26%) and an increase in body fat (31â€“37%). Diagnosis criteria for MS were found in 20% of the participants. Conclusions: Dietary acculturation, including a reduction in vegetarianism, an increased intake of caffeinated drinks and altered meal patterns, may be associated with the higher prevalence of MS in migrant South Asians in the UK. (PsycINFO Database Record (c) 2016 APA, all rights reserved)</t>
  </si>
  <si>
    <t>The effects of perceived immigrant stress, acculturation strategies, and conflict resolution styles on marital satisfaction of Chinese American immigrants</t>
  </si>
  <si>
    <t>Yoshino, Ryozo</t>
  </si>
  <si>
    <t>A time to trust: A study on people'sense of trust from a viewpoint of cross-national and longitudinal study on national character</t>
  </si>
  <si>
    <t>Behaviormetrika</t>
  </si>
  <si>
    <t>0385-7417</t>
  </si>
  <si>
    <t>10.2333/bhmk.29.231</t>
  </si>
  <si>
    <t>http://search.ebscohost.com.proxy-ub.rug.nl/login.aspx?direct=true&amp;db=psyh&amp;AN=2002-06453-004&amp;site=ehost-live&amp;scope=site</t>
  </si>
  <si>
    <t>Examined people's sense of trust as reflected in response data of questionnaire surveys. Specifically, the author studies the variability of people's trust systems in order to explore which aspects of their sense of trust are stable over many decades and which aspects are variable under the longitudinal changes of economic and political conditions. The author's longitudinal and cross-national survey research is discussed, and the history of the research is summarized. Next, a summary is given of some aspects of trust as revealed in the longitudinal survey of Japanese national character. Cross-national comparative analyses of trust are presented from the 7-country survey. The acculturation of Japanese immigrants in Brazil, Hawaii, and the West Coast of the US is considered, and directions for future research are provided. (PsycINFO Database Record (c) 2016 APA, all rights reserved)</t>
  </si>
  <si>
    <t>Protective psychosocial resources in the lives of Latina migrant farmworkers</t>
  </si>
  <si>
    <t>1935-942X</t>
  </si>
  <si>
    <t>Previous research has found that female migrant farmworkers (MFWs) report greater levels of depression and anxiety than male MFWs. The main objective of this study was to identify some of the most salient reserve capacity resources (i.e., psychosocial factors that can protect against and mitigate the effects of stressors) available to Latina MFWs. Secondarily, we aimed to examine the relationships between the presence of these resources and depression, hopelessness, and suicidal ideation. Participants underwent an intensive semistructured interview and completed the Center for Epidemiologic Studies-Depression Scale (CES-D) and the Beck Hopelessness Scale (BHS). Content analyses of interviews revealed 10 psychosocial reserve capacity resources: religion/God as a source of emotional support, satisfaction with social support, feeling supported by romantic partner, having somebody to confide in, having friends in the United States, showing hope toward the future, having an end goal (e.g., saving for a house in Mexico), feeling a sense of control over her life, showing pride in the fact that she is able to support her family through farm work, and showing endurance. The aggregate protective influence of the available psychosocial resources was negatively associated with depression (r = âˆ’.35), hopelessness (r = âˆ’.28), and suicidal ideation (r = âˆ’.29); however, none of these associations were statistically significant. Although stress is inherent to the MFW lifestyle, we found many protective psychosocial resources available to help mitigate stress. Latina MFWs can be highly resilient in the face of exposure to structural conditions that keep them in poverty and are detrimental to their mental health. (PsycINFO Database Record (c) 2016 APA, all rights reserved)</t>
  </si>
  <si>
    <t>Nguyen, Ly; Peterson, Christopher</t>
  </si>
  <si>
    <t>Depressive symptoms among Vietnamese-American college students</t>
  </si>
  <si>
    <t>10.1080/00224545.1993.9712119</t>
  </si>
  <si>
    <t>http://search.ebscohost.com.proxy-ub.rug.nl/login.aspx?direct=true&amp;db=psyh&amp;AN=1993-33598-001&amp;site=ehost-live&amp;scope=site</t>
  </si>
  <si>
    <t>50 Vietnamese-American college students completed questionnaires measuring depressive symptoms, stressful life events, and identification with Vietnamese society vs acculturation to US society. No gains in reliability or validity were apparent when analyses were limited to depressive symptoms specific to Vietnamese culture. Acculturation to US society was positively associated with increased reports of depressive symptoms, as was the occurrence of stressful life events. (PsycINFO Database Record (c) 2016 APA, all rights reserved)</t>
  </si>
  <si>
    <t>Fetvadjiev, Velichko H.; van de Vijver, Fons J. R.</t>
  </si>
  <si>
    <t>Measures of personality across cultures</t>
  </si>
  <si>
    <t>Measures of personality and social psychological constructs.</t>
  </si>
  <si>
    <t>978-0-12-386915-9</t>
  </si>
  <si>
    <t>http://search.ebscohost.com.proxy-ub.rug.nl/login.aspx?direct=true&amp;db=psyh&amp;AN=2014-44092-026&amp;site=ehost-live&amp;scope=site</t>
  </si>
  <si>
    <t>In this chapter, we review the largest, most popular multidimensional personality instruments used in cross cultural comparisons of adults. We consider countries to represent cultures (despite cultural sub samples within countries). We have not included studies examining only immigrant or different groups within countries, where issues of acculturation and multiculturalism would require additional attention. Except for the widely used Minnesota Multiphasic Personality Inventory (MMPI-2) and Myers-Briggs Type Indicator (MBTI), and the recently developed HEXACO Personality Inventory, all publications included contain direct information about the structural and measurement equivalence across cultures as assessed in exploratory (EFA) and confirmatory factor analysis (CFA) and analyses of item bias or differential item functioning (DIF). (PsycINFO Database Record (c) 2019 APA, all rights reserved)</t>
  </si>
  <si>
    <t>Bhui, Kamaldeep</t>
  </si>
  <si>
    <t>Cultural psychiatry and epidemiology: Researching the means, methods and meanings</t>
  </si>
  <si>
    <t>10.1177/1363461510383181</t>
  </si>
  <si>
    <t>http://search.ebscohost.com.proxy-ub.rug.nl/login.aspx?direct=true&amp;db=psyh&amp;AN=2011-08880-008&amp;site=ehost-live&amp;scope=site</t>
  </si>
  <si>
    <t>This article describes my developing interest in cultural psychiatry. This is both a challenging and yet a privileged opportunity to reflect on my research and clinical work over the last 25 years. I describe cultural and interpersonal influences on my thinking and interests, and the development of my research career moving from health services research of specialist services, to primary care research to public mental health research. Specifically, social and cultural influences on risks and responses to mental illness are discussed, as are pathways to care, the recognition of mental illness, and public health and cultural psychiatry research. (PsycINFO Database Record (c) 2016 APA, all rights reserved)</t>
  </si>
  <si>
    <t>Lifestyle behaviors predict negative and positive changes in self-reported health: The role of immigration to the United States for Koreans</t>
  </si>
  <si>
    <t>1010-5395</t>
  </si>
  <si>
    <t>Lynn, Lois L.; Kang, Keum Jee; Ludman, Elaine Kris</t>
  </si>
  <si>
    <t>Korean elderly: Diet, food beliefs, and acculturation</t>
  </si>
  <si>
    <t>Journal of Nutrition for the Elderly</t>
  </si>
  <si>
    <t>0163-9366</t>
  </si>
  <si>
    <t>10.1300/J052v19n02_01</t>
  </si>
  <si>
    <t>http://search.ebscohost.com.proxy-ub.rug.nl/login.aspx?direct=true&amp;db=psyh&amp;AN=2000-15778-001&amp;site=ehost-live&amp;scope=site</t>
  </si>
  <si>
    <t>Dietary intakes and food beliefs of 400 Korean elderly (aged 60â€“92 yrs) living in New York City and Seoul, Republic of Korea were compared in order to assess cultural adherence. A questionnaire about health, eating out, breakfast foods, traditional medicine foods, and a 24-hr recall were administered. Korean-American elderly were more likely to consume 'Western style' breakfast foods, eat out in fast food restaurants, and use multivitamins. More Ss in the Republic of Korea recommended foods such as ginseng for health. All Ss consumed kimchee and rice at least once in the 24 hr recall. Diets in both groups were adequate in protein, vitamin C, thiamin, niacin, and phosphorus, but inadequate in energy, vitamin A, riboflavin, calcium, and iron. (PsycINFO Database Record (c) 2016 APA, all rights reserved)</t>
  </si>
  <si>
    <t>Regulatory focus and attitudes to migrants</t>
  </si>
  <si>
    <t>The price of cosmopolitanism: Globalization, class structure, and language endangerment in Shanghai</t>
  </si>
  <si>
    <t>Knowledge and perceptions of dementia and Alzheimer's disease in four ethnic groups in Copenhagen, Denmark</t>
  </si>
  <si>
    <t>0885-6230</t>
  </si>
  <si>
    <t>Objective: Older people from ethnic minorities are underrepresented in dementia care. Some of the determinants of access to care are knowledge and perceptions of dementia, which may vary between ethnic groups in the population. The aims of this study were to compare knowledge and perceptions of dementia and Alzheimerâ€™s disease (AD) among four ethnic groups in Copenhagen, Denmark, and to assess the influence of education and acculturation. Methods: Quantitative survey data from 260 participants were analyzed: 100 native Danish, and 47 Polish, 51 Turkish, and 62 Pakistani immigrants. Knowledge and perceptions of dementia and AD were assessed with the Dementia Knowledge Questionnaire (DKQ) supplemented with two questions from the Alzheimerâ€™s Disease Awareness Test (ADAT). Knowledge and perceptions of dementia and AD in the four groups were compared, and the influence of education and acculturation was assessed. Results: Group differences were found on the DKQ total score as well as all sub-domains. Turkish and Pakistani people were most likely to hold normalizing and stigmatizing views of AD. Level of education and acculturation had limited influence on dementia knowledge, accounting for 22% of the variance at most and had only minor influence on perceptions of AD. Conclusions: Lacking knowledge and certain perceptions of dementia and AD may hamper access to services in some ethnic minority groups. Ongoing efforts to raise awareness that dementia and AD are not part of normal aging, particularly among Turkish and Pakistani communities, should be a high priority for educational outreach. (PsycINFO Database Record (c) 2017 APA, all rights reserved)</t>
  </si>
  <si>
    <t>Meston, Cindy M.; Trapnell, Paul D.; Gorzalka, Boris B.</t>
  </si>
  <si>
    <t>Ethnic, gender, and length-of-residency influences on sexual knowledge and attitudes</t>
  </si>
  <si>
    <t>Journal of Sex Research</t>
  </si>
  <si>
    <t>0022-4499</t>
  </si>
  <si>
    <t>10.1080/00224499809551931</t>
  </si>
  <si>
    <t>http://search.ebscohost.com.proxy-ub.rug.nl/login.aspx?direct=true&amp;db=psyh&amp;AN=1998-04412-007&amp;site=ehost-live&amp;scope=site</t>
  </si>
  <si>
    <t>Examined potential differences in sexual knowledge and attitudes between 702 Canadian undergraduates of Asian (nâ€‚=â€‚356) and European (nâ€‚=â€‚346) ancestry. The potential influences of length of residency in Canada on these variables among Asians, and the role of gender both across and within ethnic groups were also investigated. Sexual knowledge and sexual attitudes were assessed using subscales of the Derogatis Sexual Functioning Inventory. Results revealed that compared to Europeans, Asians held more conservative sexual attitudes and demonstrated significantly less sexual knowledge. Recent Asian immigrants were significantly more likely than Canadian-born or long-term Canadian residents to hold conservative sexual attitudes on a number of sexuality items. Among Asians and non-Asians, males reported more negative attitudes toward homosexuals than did females; females held more conservative sexual attitudes toward uncommitted sexual relations than did males. The findings provide partial support for a cultural explanation of the frequently reported finding that, compared with North Americans, Asians are more restricted in their expression of sexuality. (PsycINFO Database Record (c) 2016 APA, all rights reserved)</t>
  </si>
  <si>
    <t>Social capital in ethnic communities and mental health: A study of older Korean immigrants</t>
  </si>
  <si>
    <t>This study examined how social capital in ethnic communities (e.g., social cohesion, community support, community participation, and negative interaction) influences depressive symptoms of older Korean immigrants. Using survey data from 209 participants in Central Texas (Mage = 69.6, SD = 7.50), hierarchical regression models of depressive symptoms were examined with the following sets of predictors: (1) demographics, (2) physical health, (3) sociocultural factors, and (4) ethnic community factors. After controlling for the multiple sets of individual-level variables previously known to be important predictors of mental health, ethnic community factors made a substantial contribution. Higher levels of depressive symptoms were observed among individuals who received lower levels of community support (Î² = âˆ’0.14, p &lt; 0.05), had limited participation in ethnic community events and activities (Î² = âˆ’0.15, p &lt; 0.05), and reported more frequent negative interactions with ethnic community members (Î² = 0.12, p &lt; 0.05). Findings highlight the importance of social capital in ethnic communities and hold implications for improving older ethnic immigrantsâ€™ mental well-being. (PsycINFO Database Record (c) 2016 APA, all rights reserved)</t>
  </si>
  <si>
    <t>LÃ³pez-RodrÃ­guez, LucÃ­a; Navas, Marisol; Cuadrado, Isabel; Coutant, Dawna; Worchel, Stephen</t>
  </si>
  <si>
    <t>The majority's perceptions about adaptation to the host society of different immigrant groups: The distinct role of warmth and threat</t>
  </si>
  <si>
    <t>The main objective of this research was to show that majority members differ in their perceptions of different immigrant groups as regards their warmth, competence, similarity, and triggered threat, and that these differences might explain why majority members vary in their perception of adaptation and the perceived need to adapt for different immigrant groups. Particularly, the study aimed to test the distinct role of stereotypes (especially the warmth dimension) and perceived threat (especially realistic threat) in predicting the majority's perception of adaptation and the need for immigrants to adapt. Spanish participants (N =307) responded to a questionnaire assessing Moroccan, Romanian, and Ecuadorian immigrants, reporting their perceptions of adaptation and the need for immigrants to adapt to the host society, on two dimensions of stereotypes (warmth and competence), perceived (realistic and symbolic) threat, and intergroup similarity. Results showed that the majority's perceptions about immigrants were specific to the immigrant target assessed. The psychosocial variables that predicted perception of adaptation and need to adapt differed depending on the immigrant target assessed, although warmth generally predicted perception of adaptation, and perceived threat generally predicted need to adapt. Accordingly, warmth was found to be a mediator in predicting perception of adaptation, whereas perceived realistic threat was a mediator when predicting the need to adapt. Intergroup similarity was a reliable mediator in both perception of adaptation and need to adapt. Overall, warmth seemed to be more closely related with acculturation perceptions, whereas perceived threat was more related with acculturation preferences. (PsycINFO Database Record (c) 2017 APA, all rights reserved)</t>
  </si>
  <si>
    <t>Davis, Larry E.; Engel, Rafael J.</t>
  </si>
  <si>
    <t>Measuring race and ethnicity</t>
  </si>
  <si>
    <t>978-1-4419-6696-4</t>
  </si>
  <si>
    <t>http://search.ebscohost.com.proxy-ub.rug.nl/login.aspx?direct=true&amp;db=psyh&amp;AN=2010-23661-000&amp;site=ehost-live&amp;scope=site</t>
  </si>
  <si>
    <t>Racial and ethnic issues stand at the core of social, political, and economic concerns in an increasingly diverse America. Accordingly, how individuals from the various ethnic groups regard themselvesâ€”and othersâ€”is a salient focus of research studies across the disciplines. Measuring race and ethnicity gathers psychological measures of common phenomena such as racial identity, acculturation, and intra- and intergroup relations enabling researchers to compare concepts across groups and better evaluate differences and disparities. Most of the instruments date from the 1990s and later, while a number of still useful earlier scales are included. Taken together, these tools strengthen a wide evidence base, and point to areas where new scales are warranted. Included in this volume: fourteen measures for African Americans, such as the Rejection Sensitivity Race Questionnaire and the Cultural Mistrust Inventory; eight Caucasian-specific instruments, including the Race and Politics Survey and the Being White in America Scale; sixteen acculturation scales for Latinos, some specific to Puerto Ricans, Cubans, and ChÃ­canos; seven Asian/Pacific Islander measures, including the Race-Related Stressor Scale and the Intergenerational Congruence in Immigrant Families Scale; the Native American Acculturation Scale; and seventeen generic measures, including the Experience of Discrimination Scale and the Scale of Ethnocultural Empathy. Researchers in psychology, social work, and public health examining cultural and race-related topics will find an immediately relevant source of valid and reliable scales in Measuring race and ethnicity. (PsycINFO Database Record (c) 2016 APA, all rights reserved)</t>
  </si>
  <si>
    <t>Control beliefs and health locus of control in Ugandan, German and migrated sub-Saharan African HIV infected individuals</t>
  </si>
  <si>
    <t>Objectives: Little is known about the influence of control beliefs on antiretroviral drug adherence in patients who migrated from sub-Saharan Africa to Europe. The aim of this study was to explore the differences in health locus of control and control beliefs between HIV infected patients from sub-Saharan Africa with and without a lifetime experience of migration. Methods: A sample of 62 HIV infected consecutive patients referred to the HIV clinics at the University Hospital of MÃ¼nster (Germany) and at the Rubaga Hospital Kampala (Uganda) were enrolled into this study. We compared three groups of patients: sub-Saharan African migrants, German patients, and local Ugandan patients. We used the German health and illness related control beliefs questionnaire (KKG), the Competence and control beliefs questionnaire (FKK), and the Powe Fatalism Inventory-HIV/AIDS-Version (PFI-HIV/AIDS-Version) and translated these scales into English and Luganda. In addition, the patients' sociodemographic, acculturation, clinical, and immunological data were registered. Results: Significant results were shown in HIV related external locus of control between migrated sub-Saharan African and local Ugandan patients compared to German patients. General control beliefs showed no significant differences. In the PFI-HIV-Version, there was a significant difference between migrated sub-Saharan African and Ugandan patients compared to German patients. Conclusions: Our data suggest that the experience of migration does not influence the locus of control. Compared to German HIV patients, African patients in general showed a significantly higher external health locus of control which might have implications for drug adherence. (PsycINFO Database Record (c) 2016 APA, all rights reserved)</t>
  </si>
  <si>
    <t>Evaluation of use of stage of tobacco epidemic to predict post-immigration smoking behaviors</t>
  </si>
  <si>
    <t>1462-2203</t>
  </si>
  <si>
    <t>Introduction: This research uses the Lopez stage of tobacco epidemic model to evaluate post-immigration smoking behavior. Stage is a composite measure of tobacco norms of a country: smoking prevalence, cigarette consumption, and tobacco-related morbidity. The Lopez model characterizes the changing relationship between smoking prevalence and tobacco-related mortality and morbidity as a country progresses through the 4 successive stages of the tobacco epidemic. Methods: Survey data from Southeast Asian and Latino immigrants (from stage 1 and stage 2 countries) (n = 2,076) were used to evaluate stage of tobacco epidemic of country of emigration. Stage was compared with standard acculturation measures and community identification measures to understand post-immigration smoking behavior in the United States. Comparative analysis by stage and gender includes bivariate associations and logistic regression models to predict post-immigration smoking behavior. Results: Males: Pre-immigration prevalence and consumption rates of our study sample conform to prevalence and consumption of stage 1 and stage 2 countries predicted by the Lopez model. Post-immigration smoking uptake is equivalent to pre-immigration uptake for stage 1 males. The uptake rate for stage 2 males post-immigration is significantly lower (22.1%) than pre-immigration uptake (41.4%). Stage is a statistically significant predictor of post-immigration smoking uptake (OR = 3.08, CI = 1.82â€“5.22, p &lt; .01). Females: Stage of country of birth is not significantly predictive of post-migration smoking uptake. Conclusions: The finding of stage to be a strong predictor of post-immigration smoking behavior among males provides a promising measurement tool. Prevalence and consumption of females in our study sample support the need for revisions to the stage model. (PsycINFO Database Record (c) 2017 APA, all rights reserved)</t>
  </si>
  <si>
    <t>Mundt, Adrian P.; Aichberger, Marion C.; Kliewe, Thomas; Ignatyev, Yuriy; Yayla, Seda; Heimann, Hannah; Schouler-Ocak, Meryam; Busch, Markus; Rapp, Michael; Heinz, Andreas; StrÃ¶hle, Andreas</t>
  </si>
  <si>
    <t>Random sampling for a mental health survey in a deprived multi-ethnic area of Berlin</t>
  </si>
  <si>
    <t>Sakamoto, Izumi</t>
  </si>
  <si>
    <t>Negotiating multiple cultural contexts: Flexibility and constraint in the cultural selfways of Japanese academic migrants</t>
  </si>
  <si>
    <t>http://search.ebscohost.com.proxy-ub.rug.nl/login.aspx?direct=true&amp;db=psyh&amp;AN=2001-95023-040&amp;site=ehost-live&amp;scope=site</t>
  </si>
  <si>
    <t>In past decades, social work has been motivated to address cultural differences. Nevertheless, there is little social work literature that critically examines how culture and the process of adaptation are conceptualized. Most of the literature has relied on fixed views of culture and acculturation, and fails to move beyond the concepts historically provided by the social science disciplines. In contrast, this dissertation constructs a dynamic model of cultural negotiation. A multi-method research project, inspired and informed by community-based research with multinational academic migrant families, was designed to investigate the boundaries and processes of culture as experienced. The two research methods addressed questions regarding the flexibility of cultural selfways. First, in-depth interviews were conducted to examine the experiences of Japanese academic migrant families, where a grounded theory analysis revealed the complex and fluid nature of cultural negotiation. These migrants expressed a sense of agency in the processes of negotiating multiple cultural contexts (e.g. transculturation), which was variously affected by occupational status, social power, gender (roles), and family relations. Concepts of Family-Based Cultural Adaptation and a Kaitenzushi/Smorgasbord Model of Cultural Adaptation emerged, leading to a new model depicting the non-linear, fluid, and uneven nature of cultural negotiation and transculturation. Second, an experiment tested whether the flexibility of cultural selfways reported in the interviews held true across cultural contexts. Ninety-one Japanese migrants in the US were randomly assigned to either the 'Japanese culture'-salient condition or the 'American culture'-salient condition, and responded to a questionnaire regarding cultural selfways in areas with known nationality differences between Japanese and Americans. The cultural environment was manipulated by changing the people, decor, and language in the room. Ninety-one American students served as comparisons. The results partially supported the thesis of flexible cultural selfways over immediate cultural contexts, and also highlighted the complex nature of cultural adaptation, which simultaneously involves both flexibility and rigidity, thus lending partial support to the new Model of Cultural Negotiation. The Model of Cultural Negotiation affords more sophisticated understandings of the properties of culture, by making room for the malleability of cultural socialization and for multiple identities. Implications for social work are discussed. (PsycINFO Database Record (c) 2016 APA, all rights reserved)</t>
  </si>
  <si>
    <t>Cambodian and Laotian Americans' cultural values and attitudes toward seeking professional psychological services</t>
  </si>
  <si>
    <t>Productive vocabulary among three groups of bilingual American children: Comparison and prediction</t>
  </si>
  <si>
    <t>0142-7237</t>
  </si>
  <si>
    <t>The importance of input factors for bilingual childrenâ€™s vocabulary development was investigated. Forty-seven Argentine, 42 South Korean, 51 European American, 29 Latino immigrant, 26 Japanese immigrant, and 35 Korean immigrant mothers completed checklists of their 20-month-old childrenâ€™s productive vocabularies. Bilingual childrenâ€™s vocabulary sizes in each language separately were consistently smaller than their monolingual peers but only Latino bilingual children had smaller total vocabularies than monolingual children. Bilingual childrenâ€™s vocabulary sizes were similar to each other. Maternal acculturation predicted the amount of input in each language, which then predicted childrenâ€™s vocabulary size in each language. Maternal acculturation also predicted childrenâ€™s English-language vocabulary size directly. (PsycINFO Database Record (c) 2016 APA, all rights reserved)</t>
  </si>
  <si>
    <t>Gallart, Albert; Cruz, FÃ©lix; Zabalegui, Adelaida</t>
  </si>
  <si>
    <t>Factors influencing burden among non-professional immigrant caregivers: A case-control study</t>
  </si>
  <si>
    <t>0309-2402</t>
  </si>
  <si>
    <t>Aim: To identify factors related to the burden that is experienced by untrained immigrant caregivers. Background: There is growing concern about how to provide the care required by an ageing population. Although elder care has usually been provided by family members, this role is increasingly being fulfilled by immigrant caregivers with no formal training. Design: Caseâ€“control study (burdened/non-burdened according to the Zarit Burden Interview). Methods: The study took place between May 2005â€“October 2009. Anonymous questionnaires were distributed to 110 immigrant caregivers and their corresponding older care recipients (n = 110), who were receiving care in their homes in Barcelona (Spain). The questionnaires included measures of burden, social support, quality of life and social integration, and items about the physical/psychological status of the care recipient and the nature of the care tasks. Two groups of immigrant caregivers were defined according to their scores on the Zarit Burden Interview: burdened (n = 55) and non-burdened (n = 55). Results: Burdened caregivers reported less social support, a poorer quality of life, and problems with social integration. Furthermore, 48% said that they lacked knowledge about the care task, while 44% had difficulty performing certain care tasks, which constitutes a risk situation. Conclusion: Burden among untrained immigrant caregivers may be reduced by improving their social support systems and quality of life, thereby helping to ensure the availability of the caregiver services, which society increasingly needs. (PsycINFO Database Record (c) 2016 APA, all rights reserved)</t>
  </si>
  <si>
    <t>Cross-Cultural Equivalence and Validity of the Vietnamese MMPI-2: Assessing Psychological Adjustment of Vietnamese Refugees</t>
  </si>
  <si>
    <t>The cross-cultural equivalence and validity of the Vietnamese translation of the Minnesota Multiphasic Personality Inventory-2 (MMPI-2) were examined in a sample of 1st-generation Vietnamese refugees in the United States (N = 143). Respondents completed the Vietnamese MMPI-2, the Harvard Trauma Questionnaire, a measure of acculturation, and a demographic questionnaire. An inspection of MMPI-2 mean profiles and items showing extreme endorsement rates suggested that certain symptom tendencies and cultural values may be reflected in responses to some MMPI-2 items. Older age, lower acculturation, greater experienced premigration-postmigration traumas, and military veteran status were all associated with elevated MMPI-2 profiles, suggesting that the MMPI-2 functions in a reasonably equivalent and valid way in this population. (PsycINFO Database Record (c) 2016 APA, all rights reserved)</t>
  </si>
  <si>
    <t>Gernhardt, Ariane; RÃ¼beling, Hartmut; Keller, Heidi</t>
  </si>
  <si>
    <t>Self- and family-conceptions of Turkish migrant, native German, and native Turkish children: A comparison of children's drawings</t>
  </si>
  <si>
    <t>The aim of the present study was to investigate the cultural conception of self and family held by Turkish migrant preschool children in comparison with native German and native Turkish children by the assessment of self- and family-drawings. The final sample consisted of 40 Turkish migrant children, 56 German urban middle-class children, 47 German rural children, 61 Turkish urban middle-class children, and 21 Turkish rural children. The children of the five cultural milieus did not differ in age, gender distribution, or human figure drawing ability. Besides the drawings, the mothersâ€™ sociocultural orientation was assessed, as well as migrant mothersâ€™ involvement in the German and Turkish cultures. The results revealed similarities between Turkish migrant children's self- and family-depictions with those of children from their culture of origin, particularly in some categorical features such as gender-specific characteristics, torso type, and neighbors. On the other hand, however, the drawings differed from those of Turkish rural children in the size of the depicted self. These findings are in line with the specific ecocultural context and the cultural orientation of Turkish migrant families toward psychological autonomy and hierarchical relatedness. It can therefore be concluded that Turkish migrant children's drawings are influenced by both their culture of origin, probably mediated by their familial socialization, and their social experiences in Germany. (PsycINFO Database Record (c) 2016 APA, all rights reserved)</t>
  </si>
  <si>
    <t>The psychological implications of stress related to immigration and citizenship status among Mexican-origin adults living in California</t>
  </si>
  <si>
    <t>Using qualitative methods for revising items in the Hispanic Stress Inventory</t>
  </si>
  <si>
    <t>Despite progress in the development of measures to assess psychosocial stress experiences in the general population, a lack of culturally informed assessment instruments exist to enable clinicians and researchers to detect and accurately diagnosis mental health concerns among Hispanics. The Hispanic Stress Inventory (HSI) was developed specifically for Hispanic adults, however, significant social and geopolitical changes over the past two decades have affected the types and intensity of stress experienced by Hispanics. Immigration related policy changes, for example, affect stress experiences among newer immigrants from Mexico and other Latin American countries in ways that items in the original HSI may no longer capture the full range of todayâ€™s stressors. Using expert interviews from Hispanic mental health experts and data gathered in 16 community-based focus groups at two distinct study sites, the goal of the current study was to identify new item content to include in a revised HSI. Using content analysis of all interview data, a total of 155 new stressor items and seven unique stress domains were generated. Content validity analysis using Kappa coefficient reveal high interrater validity for new HSI item content. Findings are described in depth, and recommendations for future research are identified. (PsycINFO Database Record (c) 2019 APA, all rights reserved)</t>
  </si>
  <si>
    <t>Screening for depression among indigenous Mexican migrant farmworkers using the Patient Health Questionnaire-9</t>
  </si>
  <si>
    <t>US farmworkers include growing numbers of individuals from indigenous, pre-Columbian communities in southern Mexico with distinctive languages and cultures. Given the high stress these farmworkers experience in their challenging work environments, they are very susceptible to depression and other mental and emotional health disorders. The present study explores the Spanish version of the Patient Health Questionnaire-9 (PHQ-9) as a screen for the presence and severity of depression among 123 indigenous Mexican-origin, migrant farmworkers in Oregon. Factor structure and inter-item correlations of the PHQ-9 are examined, along with associations between depression and culture-bound syndromes, self-esteem, self-efficacy, acculturation stress, and other sample psychosocial characteristics. The PHQ-9 exhibited strong factor loadings and internal consistency, and its severity score significantly correlated with other indicators of health status that were observed in previous studies to be significantly associated with depression. The PHQ-9 appears to be culturally relevant for use with Mexicans coming from a variety of indigenous cultures and having very low education and literacy. (PsycINFO Database Record (c) 2016 APA, all rights reserved)</t>
  </si>
  <si>
    <t>Understanding psychopathology in migrants: A mixed categorical-dimensional approach</t>
  </si>
  <si>
    <t>Mio, Jeffery Scott; Barker, Lori A.; Tumambing, Jaydee Santos</t>
  </si>
  <si>
    <t>Multicultural psychology: Understanding our diverse communities, 3rd ed</t>
  </si>
  <si>
    <t>0-19-976691-6</t>
  </si>
  <si>
    <t>http://search.ebscohost.com.proxy-ub.rug.nl/login.aspx?direct=true&amp;db=psyh&amp;AN=2013-00937-000&amp;site=ehost-live&amp;scope=site</t>
  </si>
  <si>
    <t>Founded on the notion that personal experience provides a unique teaching tool, Multicultural Psychology: Understanding Our Diverse Communities, Third Edition, focuses on the connections between psychological concepts and the deeply personal stories that individuals associate with them. The text uses first-person narrative accounts from people of all ages and cultures in order to illustrate such compelling topics as communication, racial and cultural identity development, racism, differences in worldviews, and immigration. By combining quantitative and qualitative research with anecdotal material, authors Jeffery Scott Mio, Lori A. Barker, and Jaydee Santos Tumambing examine an array of multicultural issues and capture the richness of diverse cultures. (PsycINFO Database Record (c) 2016 APA, all rights reserved)</t>
  </si>
  <si>
    <t>Changes in social functioning and circulating oxytocin and vasopressin following the migration to a new country</t>
  </si>
  <si>
    <t>0031-9384</t>
  </si>
  <si>
    <t>Prior studies have reported associations between plasma oxytocin and vasopressin and markers of social functioning. However, because most human studies have used cross-sectional designs, it is unclear whether plasma oxytocin and vasopressin influences social functioning or whether social functioning modulates the production and peripheral release of these peptides. In order to address this question, we followed individuals who experienced major changes in social functioning subsequent to the migration to a new country. In this study, 59 new international students were recruited shortly after arrival in the host country and reassessed 2 and 5months later. At each assessment participants provided information on their current social functioning and blood samples for oxytocin and vasopressin analysis. Results indicated that changes in social functioning were not related to changes in plasma oxytocin. Instead, baseline oxytocin predicted changes in social relationship satisfaction, social support, and loneliness over time. In contrast, plasma vasopressin changed as a function of social integration. Baseline vasopressin was not related to changes in social functioning over time. These results emphasize the different roles of plasma oxytocin and vasopressin in responses to changes in social functioning in humans. (PsycINFO Database Record (c) 2019 APA, all rights reserved)</t>
  </si>
  <si>
    <t>Factorial invariance, scale reliability, and construct validity of the job control and job demands scales for immigrant workers: The Multi-Ethnic Study of Atherosclerosis</t>
  </si>
  <si>
    <t>Immigrants have a different social context from those who stay in their home country or those who were born to the country that immigrants now live. Cultural theory of risk perception suggests that social context influences oneâ€™s interpretation of questionnaire items. We examined psychometric properties of job control and job demand scales with US- and foreign-born workers who preferred English, Spanish, or Chinese (n = 3,114, mean age = 58.1). Across all groups, the job control scale had acceptable Cronbachâ€™s alpha (0.78â€“0.83) and equivalent factor loadings (Î”CFI &lt; 0.01). Immigrants had low alpha (0.42â€“0.65) for the job demands scale regardless of language, education, or age of migration. Two job-demand items had different factor loadings across groups. Among immigrants, both scales had inconsistent associations with perceived job stress and self-rated health. For a better understanding of immigrantsâ€™ job stress, the concept of job demands should be expanded and immigrantsâ€™ expectations for job control explored. (PsycINFO Database Record (c) 2019 APA, all rights reserved)</t>
  </si>
  <si>
    <t>Measuring intimate partner violence among male and female farmworkers in San Diego County, Ca</t>
  </si>
  <si>
    <t>RosenmÃ¶ller, Doenja L.; Gasevic, Danijela; Seidell, Jaap; Lear, Scott A.</t>
  </si>
  <si>
    <t>Determinants of changes in dietary patterns among Chinese immigrants: A cross-sectional analysis</t>
  </si>
  <si>
    <t>1479-5868</t>
  </si>
  <si>
    <t>Gambuzza, Maria Emilia</t>
  </si>
  <si>
    <t>Academic advising approaches used with foreign-born latino graduate students: A mixed-methods approach</t>
  </si>
  <si>
    <t>http://search.ebscohost.com.proxy-ub.rug.nl/login.aspx?direct=true&amp;db=psyh&amp;AN=2015-99070-136&amp;site=ehost-live&amp;scope=site</t>
  </si>
  <si>
    <t>This applied dissertation was designed to determine the level of satisfaction with the current academic advising approaches used for foreign-born Latino adult learners enrolled in a masterâ€™s degree program designed specifically for Spanish-speaking immigrants in two Hispanic-serving institutions in Florida. The data collected through this study allowed the researcher to describe foreign-born Latino graduate studentsâ€™ perceptions and the experiences of academic advising practices to specifically identify key elements that would improve academic advising performance and retention and graduation rates at the primary research site. Foreign-born Latinos comprise a strong portion of the workforce population of the U.S. Therefore, there is a need to provide tailored academic advising support to enhance their learning experience. The outcome of this study was also used as supportive information to be included in the Annual Performance Report of the Title V-B PPOHA grant awarded to the institution. Furthermore, the outcome of the study allowed the researcher to identify key elements that could improve the overall academic support systems of other Hispanic-serving institutions around the country. Four research questions guided this study: 1. What kind of academic advising approach is used at the research site? 2. Is the academic advising at the research site helping the acculturation of foreign-born Latino adult learners? 3. Are foreign-born Latino adult learners satisfied with the academic advising approach provided at the research site? 4. What specific changes need to be made to the current academic advising approach to improve its effectiveness? The methodology used was a mixed-methods design. Procedures included an extensive literature review, the examination of instruments, the development of an interview protocol, the surveying of students, and the interviewing of academic advisors. The findings of this study suggested that foreign-born Latino adult learners need personalized attention to guide them through the American higher education system. Therefore, academic advisors of foreign-born Latinos must possess a mentor attitude to maximize the benefits of any academic advising session. Implications for future advising research and practice are included. (PsycINFO Database Record (c) 2016 APA, all rights reserved)</t>
  </si>
  <si>
    <t>AlcÃ¡ntara, Carmela; Casement, Melynda D.; Lewis-FernÃ¡ndez, Roberto</t>
  </si>
  <si>
    <t>Conditional risk for PTSD among Latinos: A systematic review of racial/ethnic differences and sociocultural explanations</t>
  </si>
  <si>
    <t>Clinical Psychology Review</t>
  </si>
  <si>
    <t>0272-7358</t>
  </si>
  <si>
    <t>10.1016/j.cpr.2012.10.005</t>
  </si>
  <si>
    <t>http://search.ebscohost.com.proxy-ub.rug.nl/login.aspx?direct=true&amp;db=psyh&amp;AN=2013-00020-010&amp;site=ehost-live&amp;scope=site</t>
  </si>
  <si>
    <t>Conditional risk for Posttraumatic Stress Disorder (PTSD)â€”defined as prevalence, onset, persistence, or severity of PTSD after traumatic exposureâ€”appears to be higher among Latinos relative to non-Latinos after accounting for sociodemographic factors. This systematic review focuses on differences in conditional risk for PTSD between Latinos and non-Latinos (White, Black, or combined) and across Latino subgroups in studies that adjust for trauma exposure. We discuss methodological characteristics of existing articles and sociocultural explanatory factors. Electronic bibliographic searches were conducted for English-language articles published in peer-reviewed journals between 1991 and 2012. We followed the Preferred Reporting Items for Systematic Reviews and Meta-Analyses guidelines. Twenty-eight articles met inclusion criteria. Consistent support was found for elevated rates of PTSD onset and PTSD severity among Latinos relative to non-Latino Whites. The evidence on racial/ethnic differences in conditional risk for PTSD prevalence and PTSD persistence is mixed. Twenty-four articles evaluated sociocultural explanations, with the strongest support found for racial/ethnic variation in peri-traumatic responses and structure of PTSD. There were also consistent main effects for social disadvantage in studies that simultaneously adjusted for effects of race/ethnicity. Future research should use theoretically-driven models to formally test for interactions between sociocultural factors, race/ethnicity, and PTSD probability. (PsycINFO Database Record (c) 2016 APA, all rights reserved)</t>
  </si>
  <si>
    <t>Ethnic group moderates the association between attachment and well-being in later life</t>
  </si>
  <si>
    <t>Attachment styles are associated with well-being across the life span. Particularly in later life, when individuals face declining health and increasing dependency, patterns of attachment may relate to affective outcomes. However, few studies have empirically examined the attachmentâ€“well-being link at the end of the life span or considered whether ethnic group membership may moderate attachmentâ€“well-being links. Data from a sample of older adults (N = 1,116) were used to investigate how secure, dismissive, and fearful/avoidant styles predicted well-being in 4 ethnic groups; African Americans, European Americans, Eastern European immigrants, and English-speaking Caribbean immigrants. As expected, both secure and dismissive attachment dimensions were related to greater well-being, whereas fearful/avoidant attachment was associated with less. This positive impact of a secure attachment style of relating to others on well-being was stronger among African Americans and English-speaking Caribbeans compared with the European American and Eastern European immigrant groups. The negative impact of a fearful/avoidant attachment style of relating on well-being was buffered by being an English-speaking Caribbean but not for the other 3 groups. Results are interpreted in light of general and culture-specific premises of attachment. The article concludes with some implications and suggestions for future work. (PsycINFO Database Record (c) 2016 APA, all rights reserved)</t>
  </si>
  <si>
    <t>Wei, Meifen; Tsai, Pei-Chun; Chao, Ruth Chu-Lien; Du, Yi; Lin, Shu-Ping</t>
  </si>
  <si>
    <t>Advisory working alliance, perceived English proficiency, and acculturative stress</t>
  </si>
  <si>
    <t>10.1037/a0028617</t>
  </si>
  <si>
    <t>http://search.ebscohost.com.proxy-ub.rug.nl/login.aspx?direct=true&amp;db=psyh&amp;AN=2012-17949-003&amp;site=ehost-live&amp;scope=site</t>
  </si>
  <si>
    <t>The aim of this study was to examine the moderators of (a) general or cross-cultural advisory working alliances and (b) perceived English proficiency on the association between acculturative stress and psychological distress. A total of 143 East Asian international students completed an online survey. Results from a hierarchical regression indicated significant three-way interactions of (a) General Advisory Working Alliances Ã— Perceived English Proficiency Ã— Acculturative Stress on Psychological Distress and (b) Cross-Cultural Advisory Working Alliances Ã— Perceived English Proficiency Ã— Acculturative Stress on Psychological Distress. Specifically, the present results indicated that acculturative stress was significantly associated with psychological distress only when students perceived lower English proficiency and had a stronger general or cross-cultural advisory working alliance. However, acculturative stress was not significantly related to psychological distress when these students perceived lower English proficiency and had a weaker advisory working alliance (i.e., general or cross-cultural). In addition, acculturative stress was also not significantly related to psychological distress when these students perceived higher English proficiency and had a stronger or weaker advisory working alliance (i.e., general or cross-cultural). (PsycINFO Database Record (c) 2016 APA, all rights reserved)</t>
  </si>
  <si>
    <t>Lester, David</t>
  </si>
  <si>
    <t>Suicide among the Roma people and Irish travelers</t>
  </si>
  <si>
    <t>Suicidal behavior of immigrants and ethnic minorities in Europe.</t>
  </si>
  <si>
    <t>978-0-88937-453-9</t>
  </si>
  <si>
    <t>http://search.ebscohost.com.proxy-ub.rug.nl/login.aspx?direct=true&amp;db=psyh&amp;AN=2014-42797-008&amp;site=ehost-live&amp;scope=site</t>
  </si>
  <si>
    <t>In this chapter, the author addresses the well-being of Roma people and Irish Travelers in relation to suicide; groups for whom there is a striking paucity of literature. The empirical studies of Roma and Irish Travelers point at an alarming situation regarding suicidal behavior in these groups, for which underlying social conditions (e.g., forced migration after being expelled from a nation, attempts to force Roma into a settled residential life) play a critical role. A strong case is made for gathering particular knowledge of the variety of acculturation strategies used by Roma and Travelers that may correlate with their health outcomes. More research is needed into these groups that are often neglected by minority researchers as well as by suicidologists. (PsycINFO Database Record (c) 2019 APA, all rights reserved)</t>
  </si>
  <si>
    <t>Development of urban adaptation and social identity of migrant children in China: A longitudinal study</t>
  </si>
  <si>
    <t>Rhodes, Scott D.; Martinez, Omar; Song, Eun-Young; Daniel, Jason; Alonzo, Jorge; Eng, Eugenia; Duck, Stacy; Downs, Mario; Bloom, Fred R.; Allen, Alex Boeving; Miller, Cindy; Reboussin, Beth</t>
  </si>
  <si>
    <t>Depressive symptoms among immigrant Latino sexual minorities</t>
  </si>
  <si>
    <t>1087-3244</t>
  </si>
  <si>
    <t>10.5993/AJHB.37.3.13</t>
  </si>
  <si>
    <t>http://search.ebscohost.com.proxy-ub.rug.nl/login.aspx?direct=true&amp;db=psyh&amp;AN=2012-29477-013&amp;site=ehost-live&amp;scope=site</t>
  </si>
  <si>
    <t>Objective: To estimate the prevalence and identify correlates of depressive symptoms among immigrant Latino sexual minorities. Methods: Respondent-driven sampling (RDS) was used to estimate the prevalence of depressive symptoms, and univariate and multivariable analyses were conducted to identify correlates of depressive symptoms. Results: Unweighted and RDS-weighted prevalence estimates of depressive symptoms were 69.2% and 74.8%, respectively. In the multivariable analysis, low social support, sexual compulsivity, and high self-esteem were significantly associated with increased depressive symptoms. Conclusions: A need exists for culturally congruent mental health services for immigrant Latino sexual minorities in the southern United States. (PsycINFO Database Record (c) 2018 APA, all rights reserved)</t>
  </si>
  <si>
    <t>Risk perception and beliefs regarding HIV infection among Ethiopian immigrants</t>
  </si>
  <si>
    <t>0899-9546</t>
  </si>
  <si>
    <t>Acculturative stress and depressive symptoms among Asian immigrants in the United States: The roles of social support and negative interaction</t>
  </si>
  <si>
    <t>Immigration is a stressful experience. Social support from and negative interaction with relatives or friends play important roles in the health and well-being of immigrants. Data for this study came from the National Latino and Asian American Study, the first nationally representative household epidemiological survey of its kind (n = 1,639). Hierarchical regression models and structural equation modeling were used to test the direct, moderating, and mediating functions of social support and negative interaction on the effect of acculturative stress on depressive symptoms among Asian immigrants. The findings indicate that acculturative stress was significantly associated with depressive symptoms after controlling other variables. Social support had a direct beneficial effect and negative interaction had a direct harmful impact on depressive symptoms among Asian immigrants. In addition, negative interaction moderated and social support partially mediated the effect of acculturative stress on depressive symptoms. This finding suggests that Asian immigrants in the United States are vulnerable to psychological distress in the form of depressive symptoms while adjusting to a new culture. (PsycINFO Database Record (c) 2017 APA, all rights reserved)</t>
  </si>
  <si>
    <t>Age of dementia diagnosis in community dwelling bilingual and monolingual Hispanic Americans</t>
  </si>
  <si>
    <t>Bilingualism has been reported to delay the age of retrospective report of first symptom in dementia. This study determined if the age of clinically diagnosed Alzheimer's disease and vascular dementia occurred later for bilingual than monolingual, immigrant and U.S. born, Hispanic Americans. It involved a secondary analysis of the subset of 81 bi/monolingual dementia cases identified at yearly follow-up (1998 through 2008) using neuropsychological test results and objective diagnostic criteria from the Sacramento Area Latino Study on Aging that involved a random sampling of community dwelling Hispanic Americans (N = 1789). Age of dementia diagnosis was analyzed in a 2 Ã— 2 (bi/monolingualism Ã— immigrant/U.S. born) ANOVA that space revealed both main effects and the interaction were non-significant. Mean age of dementia diagnosis was descriptively (but not significantly) higher in the monolingual (M = 81.10 years) than the bilingual (M = 79.31) group. Overall, bilingual dementia cases were significantly better educated than monolinguals, but U.S. born bilinguals and monolinguals did not differ significantly in education. Delays in dementia symptomatology pertaining to bilingualism are less likely to be found in studies: (a) that use age of clinical diagnosis vs. retrospective report of first dementia symptom as the dependent variable; and (b) involve clinical cases derived from community samples rather than referrals to specialist memory clinics. (PsycINFO Database Record (c) 2016 APA, all rights reserved)</t>
  </si>
  <si>
    <t>Health status, health behaviour and healthcare use among migrants in the UK: Evidence from mothers in the Millennium Cohort Study</t>
  </si>
  <si>
    <t>The health of migrants in the UK and their access to healthcare is of considerable policy interest. There is evidence of ethnic inequalities in health and access to and use of healthcare but insufficient consideration of the importance of birth abroad and length of residence in the UK. This study examines indicators of health status, behaviour and healthcare use among mothers of infants in the Millennium Cohort Study, according to whether born in the UK or abroad, individual ethnic grouping, and length of residence. Our findings show there are both positive and negative health indicators associated with ethnicity, birth abroad, and length of residence and presenting results on a single factor in isolation could lead to a misinterpretation of associations. For mothers ethnicity has an important relationship with most health indicators independent of country of birth, length of residence and socio-demographic circumstances. Once adjusted for ethnicity and socio-demographic variables, association with birth abroad disappears for most health outcomes suggesting that there may not be an independent migrant penalty in health. There is a linear trend in decreasing health status with increasing length of residence but no independent association between length of residence and healthcare use. This suggests that while there are continuing barriers to good health for migrants in the receiving society as shown in other studies, factors important for one health outcome may not apply to another. Our findings challenge linear acculturation models for migrantsâ€™ health in showing that a linear trend in improving socio-economic circumstances for mothers in some ethnic groups is not always associated with better health outcomes or changes in health behaviour. Our results point to a need for a comprehensive collection of information and analysis for all categories of migrants for understanding patterns of and factors underlying health and use of healthcare. (PsycINFO Database Record (c) 2016 APA, all rights reserved)</t>
  </si>
  <si>
    <t>Differentiating genuine versus feigned posttraumatic stress disorder in a sample of torture survivors</t>
  </si>
  <si>
    <t>As the ethnic diversity continues to increase in the United States, the importance of establishing accurate normative data for diverse groups is increasingly relevant. However, forensic measures are rarely based on normative samples that represent the considerable diversity present in forensic settings. The paucity of this research is particularly evident for psychologists asked to assess asylum seekers, where issues relating to diversity are central. The present study represents one of the first efforts to investigate the validity of measures of feigning, that have potential utility in asylum evaluations, in a non-Western sample. The study evaluated four measures that are commonly used to detect feigned psychiatric symptoms and insufficient cognitive effort, including the Dot Counting Test (DCT), the Test of Memory Malingering (TOMM), the Miller Forensic Assessment of Symptoms Test (M-FAST) and the Atypical Response (ATR) scale on the Traumatic Symptoms Inventory, Second Edition. The study compared performance on these measures among three groups of West and Central African immigrants: honest participants with PTSD, honest participants without PTSD, and participants without PTSD asked to feign symptoms of distress. The data were used to evaluate the ability of these individuals to feign PTSD, to assess the classification accuracy of each measure, and to assess the effect of demographic variables and acculturation on these measures. When possible, the data were also used to derive alternative cutoffs scores that resulted in higher levels of classification accuracy than those previously established. Notably, individuals demonstrated difficulty feigning symptoms of distress. Using both published and optimized cutoff scores, no measure demonstrated high rates of both sensitivity and specificity, although the TOMM, M-FAST and ATR scale displayed valuable, but limited utility. The combined use of TOMM and M-FAST provided the highest rates of classification accuracy. No measures were affected by acculturation, as measured in the study, although the DCT was significantly correlated to years of education. The results emphasize the need for future research in this area. (PsycINFO Database Record (c) 2016 APA, all rights reserved)</t>
  </si>
  <si>
    <t>At the interface of ethnicity and recent immigration: Family functioning of Chinese with school-age children in Canada</t>
  </si>
  <si>
    <t>1062-1024</t>
  </si>
  <si>
    <t>This study examined the family functioning of recent Chinese immigrants living in Canada in terms of its status and those socio-ecological factors that influence it. Recent immigration has resulted in an increasingly large number of residents in Canada and the US who represent both an immigrant and an ethnic minority status. Among such residents are Chinese immigrants. Because of the potentially large number of school-age children who are part of these families, the family functioning of the new Chinese immigrants with school-age children would be important for the childrenâ€™s development. This study therefore compared 112 Chinese families who recently immigrated to Canada with 90 Caucasian non-immigrant families. Scales were administered to the families to measure various aspects of family functioning. The results showed that the Chinese immigrants experienced a lower degree of family cohesion. Their socio-ecological factors were both similar and different from the non-immigrants, with a lower degree of social support and certain differences in child-rearing practices than the non-immigrants. Social support and child-rearing practices were differentially related to different dimensions of family functioning. However, these relationships were not entirely unique to the immigrants. The results have increased our understanding of immigrants and may contribute to the provision of effective support for immigrants. Implications are suggested for community support for immigrants and for further research. (PsycINFO Database Record (c) 2016 APA, all rights reserved)</t>
  </si>
  <si>
    <t>Schinkel, Willem; van Houdt, Friso</t>
  </si>
  <si>
    <t>The double helix of cultural assimilationism and neoâ€liberalism: Citizenship in contemporary governmentality</t>
  </si>
  <si>
    <t>British Journal of Sociology</t>
  </si>
  <si>
    <t>0007-1315</t>
  </si>
  <si>
    <t>10.1111/j.1468-4446.2010.01337.x</t>
  </si>
  <si>
    <t>http://search.ebscohost.com.proxy-ub.rug.nl/login.aspx?direct=true&amp;db=psyh&amp;AN=2011-00885-006&amp;site=ehost-live&amp;scope=site</t>
  </si>
  <si>
    <t>In this article the recent transformations of citizenship in the Netherlands are analysed in relation to a developing form of governmentality. We regard citizenship as a state regulated technique of in- and exclusion and a crucial instrument in the management of populations. Taking the Dutch contexts of immigration and integration as our case, we argue that cultural assimilationism and neo-liberalism appear in a double helix: they combine to form a new governmental strategy we call neo-liberal communitarianism. Neo-liberal communitarianism is the underlying rationale of a population management that operates both in an individualizing (citizenship as individual participation and responsibility) and a de-individualizing way ('community' at various aggregate and localized levels as frame of 'integration'). It thus combines a communitarian care of a Dutch culturally grounded national communityâ€”conceived as traditionally 'enlightened' and 'liberal'â€”with a neo-liberal emphasis on the individual's responsibility to achieve membership of that community. 'Community' is thereby selectively seen as mobilized and present (when immigrant integration is concerned) or as latently present and still in need of mobilization (when indigenous Dutch are concerned). Concomitantly, a repressive responsibilization and a facilitative responsibilization are aimed at these two governmentally differentiated populations. (PsycINFO Database Record (c) 2016 APA, all rights reserved)</t>
  </si>
  <si>
    <t>Park, So-Youn; Bernstein, Kunsook Song</t>
  </si>
  <si>
    <t>Depression and Korean American immigrants</t>
  </si>
  <si>
    <t>10.1016/j.apnu.2007.06.011</t>
  </si>
  <si>
    <t>http://search.ebscohost.com.proxy-ub.rug.nl/login.aspx?direct=true&amp;db=psyh&amp;AN=2008-01004-003&amp;site=ehost-live&amp;scope=site</t>
  </si>
  <si>
    <t>Koreans are a relatively new and fast-growing immigrant group in the United States. Research has shown that immigration experiences are associated with depression, whereas acculturation and social support are moderating factors. Korean culture is informed by Confucianism, which emphasizes family integrity, group conformity, and traditional gender roles, and has influenced how Korean immigrants conceptualize depression, express depressive symptoms, and demonstrate help-seeking behavior. An understanding of Korean patterns of manifesting and expressing depression will be helpful to provide culturally appropriate mental health services to Korean American immigrants. (PsycINFO Database Record (c) 2018 APA, all rights reserved)</t>
  </si>
  <si>
    <t>Psychological distress and its demographic associations in an immigrant population: Findings from the Israeli National Health Survey</t>
  </si>
  <si>
    <t>Mental Distress, Economic Hardship and Expectations of Life in Canada among Sudanese Newcomers</t>
  </si>
  <si>
    <t>As part of a settlement needs assessment of 220 recently arrived Sudanese refugees and immigrants in seven cities, we examined overall health status, indicators of mental distress, economic hardship and expectations of life in Canada. Data were collected in a community-based study using qualitative and quantitative techniques. Results indicate that those Sudanese for whom life in Canada was not what they expected and those who experienced economic hardship as measured by worry over having enough money for food or medicine experienced poorer overall health and reported a greater number of symptoms of psychological distress. After controlling for demographic and related variables, we found that individuals who were experiencing economic hardship were between 2.6 and 3.9 times as likely to experience loss of sleep, constant strain, unhappiness and depression, and bad memories as individuals who do not experience hardship. Healthcare providers should be aware of how postmigration social disadvantages may increase the risk of mental distress particularly among refugees. (PsycINFO Database Record (c) 2016 APA, all rights reserved)</t>
  </si>
  <si>
    <t>Ginsberg, Aniela M.; Gioielli, Margarita M.</t>
  </si>
  <si>
    <t>A comparative study of acculturation and adaptation of descendants of Japanese born in Brazil (Nissei) compared with Japanese and Brazilians</t>
  </si>
  <si>
    <t>Human Development</t>
  </si>
  <si>
    <t>0018-716X</t>
  </si>
  <si>
    <t>10.1159/000272454</t>
  </si>
  <si>
    <t>http://search.ebscohost.com.proxy-ub.rug.nl/login.aspx?direct=true&amp;db=psyh&amp;AN=1980-05290-001&amp;site=ehost-live&amp;scope=site</t>
  </si>
  <si>
    <t>Studied social adaptation or adaptation stress in sons of Japanese immigrants living in SÃ£o Paulo (Brazil). Test and questionnaire data (including scores on the Holtzman Inkblot Technique, Philosophy of Life Questionnaire, and Level of Aspiration Scale) of these students are compared with those of Japanese students of the same age and sex and similar status living in Tokyo, and with Brazilian students living in SÃ£o Paulo (Nâ€‚=â€‚228 18â€“28 yr old male university students). Generally, the data point to the absence of acculturation stress in the Nissei group. (14 ref) (PsycINFO Database Record (c) 2016 APA, all rights reserved)</t>
  </si>
  <si>
    <t>Wiebe, John S.; Sauceda, John A.; Lara, Carolina</t>
  </si>
  <si>
    <t>Assessing mood disorders and suicidality in Hispanics</t>
  </si>
  <si>
    <t>Guide to psychological assessment with Hispanics.</t>
  </si>
  <si>
    <t>978-1-4614-4412-1</t>
  </si>
  <si>
    <t>http://search.ebscohost.com.proxy-ub.rug.nl/login.aspx?direct=true&amp;db=psyh&amp;AN=2012-32290-008&amp;site=ehost-live&amp;scope=site</t>
  </si>
  <si>
    <t>Early epidemiological research on mood disorders among Hispanics in the USA produced equivocal results. Often, the focus of epidemiological studies was on symptomatology, rather than on clinical diagnoses, and different Hispanic subgroups were infrequently distinguished in analyses. Such strategies led to ambiguity in the interpretation of results. Since mood symptom measures typically detect general psychological distress in addition to diagnosable mood disorders, recent immigrants and members of underprivileged minority groups might be expected to show elevated scores on symptom measures even without any history of psychiatric disorder. In addition, the lack of subgroup analyses obscured potentially important differences between those originating from very different cultural backgrounds and subjected to very different migratory pressures and influences. Even with the advent of more comprehensive epidemiological research using standardized diagnostic interviews, data were not necessarily collected in Spanish. For example, the National Comorbidity Study (NCS) included a sample of 719 US Hispanic participants, surveyed only in English. This led to a restriction of range on important variables linked to language proficiency, such as acculturation and for some Hispanic subgroups, socioeconomic status. Not surprisingly, results of this study were quite different than those of other epidemiological work, indicating that Hispanics were twice as likely as African Americans to report current depression. (PsycINFO Database Record (c) 2019 APA, all rights reserved)</t>
  </si>
  <si>
    <t>An Empirical Evaluation of Social Support and Psychological Well-being in Older Chinese and Korean Immigrants</t>
  </si>
  <si>
    <t>Zusho, Akane</t>
  </si>
  <si>
    <t>Cultural variation in the motivational standards of self-enhancement and self-criticism among bicultural Asian American and Anglo American students</t>
  </si>
  <si>
    <t>10.1080/00207590701838121</t>
  </si>
  <si>
    <t>http://search.ebscohost.com.proxy-ub.rug.nl/login.aspx?direct=true&amp;db=psyh&amp;AN=2008-12609-007&amp;site=ehost-live&amp;scope=site</t>
  </si>
  <si>
    <t>Recent work on biculturalism has made theoretical and methodological inroads into our understanding of the relation of cultural processes with psychological functioning. Through the use of cultural priming methodologies, investigators have demonstrated that biculturals, or individuals who have experienced and identify with more than one culture, can switch between various 'cultural frames of reference' in response to corresponding social cues (Hong, Morris, Chiu, &amp; Benet-Martinez, 2000). Drawing on this work on the cognitive implications of biculturalism, the purpose of the present study was to examine the assumption that independent and interdependent self-construals are associated with the motivational standards of self-enhancement and self-criticism, respectively. More specifically, the effects of differential primes of self on ratings of self-enhancement were investigated in a sample of bicultural Asian American (N = 42) and Anglo American (N = 60) college students; overall, more similarities than differences were noted between the two groups. It was hypothesized that Anglo American students would display marked tendencies toward self-enhancement. However, this hypothesis was not supported. Nevertheless, consistent prime effects were observed for a selected number of ratings related to academic virtues, with those who received an independent-self prime often exhibiting greater self-enhancing tendencies than those who received an interdependent-self prime. For example, participants in the independent-self condition reported on average significantly higher ratings for self-discipline and initiative, as well as the degree to which they perceived themselves to be hard working. Implications for the work on self-representations, motivation, and acculturation are discussed. (PsycINFO Database Record (c) 2016 APA, all rights reserved)</t>
  </si>
  <si>
    <t>Psychological distress among Thai migrant workers in Israel</t>
  </si>
  <si>
    <t>The purpose of this cross-sectional study was to examine the associations between migration stressors and psychological distress among Thai migrant agricultural workers in Israel, and to examine the direct and indirect contribution of socio-cultural variables to this relationship. Two hundred and twenty-one Thai male workers were interviewed using a structured questionnaire that included demographic variables and occupational exposures to organophosphate pesticides, migration stressors, intervening variables, and a psychological distress scale. In multivariate analysis, migration stressors, the migrants' traditional health beliefs, quality of current social relationships, drinking behavior, as well as age and occupational exposure were significantly associated with psychological distress. A moderating effect of the quality of social relationships with coworkers on the association between homesickness and psychological distress was found. Additionally, migrants aged 28-34 and those who were experiencing eye irritation from chemicals at work had significantly increased levels of distress. The findings demonstrate the focal role of specific migration stressors and the current socio-cultural context on psychological distress of migrant workers. (PsycINFO Database Record (c) 2016 APA, all rights reserved)</t>
  </si>
  <si>
    <t>Kyrios, Michael; Prior, Margot; Oberklaid, Frank; Demetriou, Andreas</t>
  </si>
  <si>
    <t>Cross-cultural studies of temperament: Temperament in Greek infants</t>
  </si>
  <si>
    <t>10.1080/00207594.1989.10600068</t>
  </si>
  <si>
    <t>http://search.ebscohost.com.proxy-ub.rug.nl/login.aspx?direct=true&amp;db=psyh&amp;AN=1990-14455-001&amp;site=ehost-live&amp;scope=site</t>
  </si>
  <si>
    <t>Compared 3 infant cohorts of 142 Ss (aged 3.7â€“9.4 mo) from Greek cultural backgrounds with an Anglo-Australian age-matched infant cohort of 52 Ss across 9 dimensions of temperament using Australian and Greek versions of the revised Infant Temperament Questionnaire. Ss from a Greek cultural background were generally considered to be more difficult than the Anglo-Australian Ss on the temperament dimensions of Approach, Adaptability, Mood, and Distractibility even after the effects of social class were controlled statistically. Cross-cultural differences were discussed with regard to the potential influence on temperament ratings of ethnicity and culture, social status, psychobiological factors, migrant status, social assimilation, and questionnaire characteristics. (French abstract) (PsycINFO Database Record (c) 2016 APA, all rights reserved)</t>
  </si>
  <si>
    <t>Stress and depressive symptoms in Latin Americans in Toronto</t>
  </si>
  <si>
    <t>1757-0980</t>
  </si>
  <si>
    <t>Purpose: The paperâ€™s aim is to determine whether the SAFE (acculturative stress), PHQ-9 (depressive symptoms) and MSPSS (individual social resources) scales are considered acceptable measures to be used in the Spanish-speaking Latin American immigrant population in Toronto. Design/methodology/approach: The PHQ9, MSPSS and SAFE were completed by a group of ten Spanish-speaking Latin Americans recruited through an organization that offers services to immigrants in Toronto. The need for clarification of questions was noted as well as the comments that respondents made to the process. Findings: Participants felt comfortable responding the questionnaire. There was little duplication when the three scales were used together. The average time to complete the survey was 21 minutes. Originality/value: There has been no community based quantitative study of mental health in the Spanish-speaking community in Toronto that has used the SAFE (acculturative stress), PHQ-9 (depressive symptoms) and MSPSS (individual social resources) scales. This pilot study tested the suitability of these scales with this population. The PHQ9, SAFE and MSPSS are acceptable scales to be used in surveys in the Spanish-speaking Latin American population in Toronto. (PsycINFO Database Record (c) 2019 APA, all rights reserved)</t>
  </si>
  <si>
    <t>Cultural values and group-related attitudes: A comparison of individuals with and without migration background across 24 countries</t>
  </si>
  <si>
    <t>This article argues that individualsâ€™ attitudes toward members of other groups are at least partly shaped by the cultural environment in which the individuals live. Based on the theory of cultural values by Schwartz, it was tested whether cross-country differences in cultural value preferences can explain individual differences in negative group-related attitudes. Furthermore, the present article postulates that individuals with a migration background are less strongly guided by the cultural values of the society in which they live, because they are additionally exposed to cultural values originating from their heritage culture. Samples from 24 countries that were part of the fourth wave of the European Social Survey were examined. Cultural values were assessed using the Portrait Value Questionnaire. Group-related attitudes were operationalized through an index of attitudes toward four different groups. Analyses of hierarchical linear models supported the hypotheses: Participantsâ€™ degree of negative group-related attitudes varied as a function of the cultural values inherent in the individualsâ€™ countries. Moreover, weaker effects were found for individuals with migration background compared to individuals without migration background, especially for first-generation immigrants and immigrants from culturally more distant countries. Moreover, country-level cultural values were found to moderate the relationship of individual education and income level with group-related attitudes. Results are discussed with regard to their contribution to the literature on acculturation and with regard to the validity of Schwartzâ€™s cultural value theory. (PsycINFO Database Record (c) 2016 APA, all rights reserved)</t>
  </si>
  <si>
    <t>Knowledge of Alzheimer's disease and subjective memory impairment in Latin American seniors in the Greater Toronto area</t>
  </si>
  <si>
    <t>1041-6102</t>
  </si>
  <si>
    <t>English proficiency and language preference: Testing the equivalence of two measures</t>
  </si>
  <si>
    <t>0090-0036</t>
  </si>
  <si>
    <t>Objectives: We examined the association of language proficiency vs language preference with self-rated health among Asian American immigrants. We also examined whether modeling preference or proficiency as continuous or categorical variables changed our inferences. Methods: Data came from the 2002â€“2003 National Latino and Asian American Study (n = 1639). We focused on participantsâ€™ proficiency in speaking, reading, and writing English and on their language preference when thinking or speaking with family or friends. We examined the relation between language measures and self-rated health with ordered and binary logistic regression. Results: All English proficiency measures were associated with self-rated health across all models. By contrast, associations between language preference and self-rated health varied by the model considered. Conclusions: Although many studies create composite scores aggregated across measures of English proficiency and language preference, this practice may not always be conceptually or empirically warranted. (PsycINFO Database Record (c) 2016 APA, all rights reserved)</t>
  </si>
  <si>
    <t>Ethnic identity, resettlement stress and depressive affect among Southeast Asian refugees in Canada</t>
  </si>
  <si>
    <t>Kim, Yongseok</t>
  </si>
  <si>
    <t>The role of cognitive control in mediating the effect of stressful circumstances among Korean immigrants</t>
  </si>
  <si>
    <t>10.1093/hsw/27.1.36</t>
  </si>
  <si>
    <t>http://search.ebscohost.com.proxy-ub.rug.nl/login.aspx?direct=true&amp;db=psyh&amp;AN=2002-00998-002&amp;site=ehost-live&amp;scope=site</t>
  </si>
  <si>
    <t>Investigated relationships among stressful circumstances, cognitive control (the individual's perception of control over life), and distress among Korean immigrants in the US. Specifically, it was hypothesized that cognitive control would mediate the effect of exposure to stressful circumstances on distress. 159 Korean immigrants (mean age 36.87 yrs) completed questionnaires measuring chronic sources of stress, perceptions or evaluations of collective life stressors and the degree to which Ss found these uncontrollable, and symptoms of somatic and emotional distress. Results show support for the role of cognitive control in mediating the relationship between stressful circumstances and distress. The detrimental effect of exposure to stressful circumstances on distress was weakened by cognitive control. Implications for social work practice and future research are discussed. (PsycINFO Database Record (c) 2016 APA, all rights reserved)</t>
  </si>
  <si>
    <t>Perilla, Julia L.; Bakerman, Roger; Norris, Fran H.</t>
  </si>
  <si>
    <t>Culture and domestic violence: The ecology of abused Latinas</t>
  </si>
  <si>
    <t>Violence and Victims</t>
  </si>
  <si>
    <t>0886-6708</t>
  </si>
  <si>
    <t>http://search.ebscohost.com.proxy-ub.rug.nl/login.aspx?direct=true&amp;db=psyh&amp;AN=1996-08375-001&amp;site=ehost-live&amp;scope=site</t>
  </si>
  <si>
    <t>Examined the predictors of domestic violence from the perspective of immigrant Latinas who may be affected by both personal histories and cultural factors at work in their environment. 30 immigrant Latinas who had sought assistance for self-reported domestic abuse and 30 who had sought other family services were interviewed. A set of 8 standardized instruments were also used. Hypotheses were derived from several frameworks relevant to understanding abuse: intrapsychic, interpersonal, and feminist theory. Findings related to the specific formulations were combined into a model of abuse in which the mutuality of communication within the couple mediates the effects of the husband's intoxication and environmental stressors on the occurrence/severity of abuse. This supports the idea of taking an ecological approach to the study of abuse in specific populations. (PsycINFO Database Record (c) 2018 APA, all rights reserved)</t>
  </si>
  <si>
    <t>A health survey of a colonia located on the West Texas, US/Mexico border</t>
  </si>
  <si>
    <t>Beliefs and practices regarding Alzheimer's disease and related dementias among Filipino home care workers in Israel</t>
  </si>
  <si>
    <t>Background: In the past few decades, foreign home care to frail older adults has become a common alternative to family care in many developed countries. Whereas Alzheimerâ€™s disease and related dementias (ADRD) are common conditions in this population of frail older adults, little is known about the beliefs of foreign home care workers about ADRD or about their practices. Methods: A mixed-methods design was conducted in 2006â€“2007 in Israel. The study included a survey of beliefs about ADRD completed by 184 Filipino home care workers and qualitative interviews with 29 Filipino home care workers. Results: On seven of the 14 belief items, more than 30% of the workers were in discordance with scientific view about ADRD. Those workers who were not informed about the care recipientâ€™s medical conditions were more likely to report beliefs that were inconsistent with current scientific knowledge. In qualitative interviews, Filipino home care workers reported using intuitively behavioral techniques when caring for older adults with ADRD. Conclusions: Despite the fact that some of the workersâ€™ beliefs are inconsistent with current scientific view, their actual intuitive practices are consistent with the scientific paradigm. Specific emphasis has to be placed on encouraging workersâ€™ intuitive approach to ADRD and providing workers with ample information about the medical conditions and needs of the care recipient. (PsycINFO Database Record (c) 2016 APA, all rights reserved)</t>
  </si>
  <si>
    <t>Silveira, Ellen R.; Ebrahim, Shah</t>
  </si>
  <si>
    <t>Social determinants of psychiatric morbidity and well-being in immigrant elders and Whites in East London</t>
  </si>
  <si>
    <t>10.1002/(SICI)1099-1166(1998110)13:11&lt;801::AID-GPS876&gt;3.0.CO;2-Z</t>
  </si>
  <si>
    <t>http://search.ebscohost.com.proxy-ub.rug.nl/login.aspx?direct=true&amp;db=psyh&amp;AN=1998-11897-006&amp;site=ehost-live&amp;scope=site</t>
  </si>
  <si>
    <t>Compared the prevalence of mental, physical and social health problems in elderly Somalis, Bengalis and Whites living in a deprived inner London area and examined associations between environmental circumstances, social support, physical health status, mood and life satisfaction in these groups. Also tested was the hypothesis that differences in mental health between immigrants and Whites are explained by social disadvantages rather than ethnicity. Ss were 72 Somalis, 75 Bengalis and 127 Whites aged 60+ yrs. Measures included the Symptoms of Anxiety and Depression Scale (SAD) and Life Satisfaction Index (LSI). Highest SAD scores were found among Bengalis; lowest LSI scores were found among Bengalis and Somalis. The prevalences of depression were 25% in Somalis, 77% in Bengalis and 25% in Whites. Physical health status and SAD scores were associated in Somalis, Bengalis and Whites. Physical health problems also related to lower LSI scores in Somalis and Whites. Social factors (e.g., poor housing conditions) were strongly associated with SAD scores among Somalis and, to a lesser extent, among Bengalis. Ethnicity became a statistically non-significant risk factor for high SAD scores after adjusting for age, weekly income, physical health and social problems. (PsycINFO Database Record (c) 2016 APA, all rights reserved)</t>
  </si>
  <si>
    <t>Comparison of eating habits in obese and non-obese Filipinas living in an urban area of Japan</t>
  </si>
  <si>
    <t>This study compares eating habits among obese and non-obese Filipinas living in an urban area of Japan. We used self-report questionnaires to study 635 Filipinos. Body mass index (BMI) and eating/lifestyle habits were noted. Obesity was defined as BMI â‰¥25 kg/mÂ². Seventeen percent (24/140) were obese. Results of the age-adjusted multiple logistic regression analysis show that the following responses were associated with obesity: 'frequency of eating high green and yellow vegetables' (every day: 0, not every day: 1) [OR 4.9; 95 % confidence interval (CI) 1.6â€“14.8] and 'frequency of eating high fruits' (every day: 0, not every day: 1) (OR .2; 95 % CI .1â€“.7). We suggest strategies to prevent obesity and improve eating habits among this Filipina population. (PsycINFO Database Record (c) 2019 APA, all rights reserved)</t>
  </si>
  <si>
    <t>Pang, Keum Young Chung</t>
  </si>
  <si>
    <t>Symptom expression and somatization among elderly Korean immigrants</t>
  </si>
  <si>
    <t>Journal of Clinical Geropsychology</t>
  </si>
  <si>
    <t>1079-9362</t>
  </si>
  <si>
    <t>10.1023/A:1009541200013</t>
  </si>
  <si>
    <t>http://search.ebscohost.com.proxy-ub.rug.nl/login.aspx?direct=true&amp;db=psyh&amp;AN=2000-02323-005&amp;site=ehost-live&amp;scope=site</t>
  </si>
  <si>
    <t>In a study of expression of symptoms of somatization, depression, and other biopsychological conditions, 70 elderly Korean immigrants (aged 59â€“89+ yrs) in the greater Washington, DC metropolitan area (35 who met the criteria for major depression and 35 who did not) were administered a Korean version of the Brief Symptom Inventory (BSI). Ss who met the criteria for depression had the highest mean score on the BSI somatization dimension compared with other normative samples including a sample of psychiatric inpatients. A factor analysis of data from the BSI showed that for elderly Korean immigrants, a factor of somatization was identified that included items from the original BSI obsessive-compulsive, somatization, and anxiety dimensions. Items loading on the somatization factor suggest that elderly Korean Ss experience body and mind as a unitary system and tend to communication the distress associated with old age, cultural adjustment, family and social changes through somatic symptoms. (PsycINFO Database Record (c) 2016 APA, all rights reserved)</t>
  </si>
  <si>
    <t>The Korean version of the Multicultural Quality of Life Index (MQLI-Kr): Development and validation</t>
  </si>
  <si>
    <t>Our research team of multilingual and multicultural members designed comprehensive, yet efficient, culture-informed, and self-rated Multicultural Quality of Life Indexes for both English-speaking individuals and for growing immigrant groups in the United States. A Korean version of the Multicultural Quality of Life Index (MQLIKr) was developed as part of this multilingual project. The team tested the MQLI-Kr on 130 Koreans (100 psychiatric patients and 30 professionals). MQLI-Kr was quite efficient and easy to use. The internal consistency attained a Cronbach's Î± of 0.97 for the combined sample. A factor analysis yielded one single factor, which accounted for 81.5% of the items' variance. The test-retest reliability correlation coefficient of the MQLI-Kr was 0.85. Significant differences in the mean MQLI-Kr scores were observed between the patients' group and the professionals' group (p &lt; 0.001). Thus the results of this study showed high feasibility, internal consistency, reliability, and discriminant validity for the MQLI-Kr. (PsycINFO Database Record (c) 2016 APA, all rights reserved)</t>
  </si>
  <si>
    <t>Brugge, Doug; Kole, Alison; Lu, Weibo; Must, Aviva</t>
  </si>
  <si>
    <t>Susceptibility of Elderly Asian Immigrants to Persuasion With Respect to Participation in Research</t>
  </si>
  <si>
    <t>10.1007/s10903-005-2642-8</t>
  </si>
  <si>
    <t>http://search.ebscohost.com.proxy-ub.rug.nl/login.aspx?direct=true&amp;db=psyh&amp;AN=2005-04590-004&amp;site=ehost-live&amp;scope=site</t>
  </si>
  <si>
    <t>Familism, respect for authority, and a sense of shame/pride are cultural characteristics that might influence research participation of Asian Americans. We compared 79 elderly Asian immigrants, most of whom immigrated from China or Hong Kong, with 58 elders who were not Asian and mostly not immigrants. Responding to hypothetical situations presented on a self-administered questionnaire, the Asian group professed to be more likely to be influenced by a request from a son/daughter, landlord, physician, or advertisement (p &lt; 0.001) and by a monetary incentive (p = 0.05). Multivariate adjustment for potential confounders attenuated the strength of these relations, but except in the case of the monetary offer, differences remained statistically significant. Within the Asian group, multivariate logistic regression modeling indicated that years lived in the US was associated with more likelihood of refusing requests to participate in research. We conclude that acculturation or assimilation into American society may build resistance to pressure to participate in research. Our findings also suggest that elderly Asian immigrants may need additional protections to achieve truly informed consent. (PsycINFO Database Record (c) 2016 APA, all rights reserved)</t>
  </si>
  <si>
    <t>Liebkind, Karmela; Jasinskaja-Lahti, Inga</t>
  </si>
  <si>
    <t>The influence of experiences of discrimination on psychological stress: A comparison of seven immigrant groups</t>
  </si>
  <si>
    <t>10.1002/(SICI)1099-1298(200001/02)10:1&lt;1::AID-CASP521&gt;3.0.CO;2-5</t>
  </si>
  <si>
    <t>http://search.ebscohost.com.proxy-ub.rug.nl/login.aspx?direct=true&amp;db=psyh&amp;AN=2000-07292-001&amp;site=ehost-live&amp;scope=site</t>
  </si>
  <si>
    <t>Compared experiences of discrimination and their influence on trust in authorities and psychological distress among 1,146 immigrants aged 20â€“36 yrs in Finland. Ss from 7 immigrant groups (Russians, Ingrian/Finnish returnees, Estonians, Somalis, Arabs, Vietnamese and Turks), answered a mailed questionnaire based on traditional acculturation research as well as victim research. Discrimination experiences were highly predictive of the psychological well-being of all immigrants, as well as of lack of trust in the Finnish authorities. Contrary to hypotheses regarding the effects of visibility and cultural proximity, group differences in psychological distress did not correspond to the group differences observed in perceived discrimination. Results are discussed in terms of the opposing predictions concerning self-damage effects of discrimination, made by social identity theory and the theory on self-protecting functions of external attributions (J. Crocker and B. Major, 1989). The low level of stress observed in the most visible and most culturally distant group, despite high levels of perceived discrimination, is better explained by the latter than the former theory. (PsycINFO Database Record (c) 2016 APA, all rights reserved)</t>
  </si>
  <si>
    <t>Burr, Jeffrey; Mutchler, Jan; Gerst, Kerstin</t>
  </si>
  <si>
    <t>Homeownership among Mexican Americans in later life</t>
  </si>
  <si>
    <t>0164-0275</t>
  </si>
  <si>
    <t>10.1177/0164027511400432</t>
  </si>
  <si>
    <t>http://search.ebscohost.com.proxy-ub.rug.nl/login.aspx?direct=true&amp;db=psyh&amp;AN=2011-11093-003&amp;site=ehost-live&amp;scope=site</t>
  </si>
  <si>
    <t>While more about the homeownership characteristics of Mexican Americans in the early and middle stages of the adult life course has recently been learned, far less is known about homeownership among Mexican Americans in later life. The well-being of older persons, including immigrant elders, has been linked to homeownership, in part because ownership imparts many advantages not available to nonowners. This study investigated homeownership among older Mexican Americans with a conceptual model based on economic, assimilation, social capital, and place stratification perspectives. Data from the 2000 U.S. census were employed to examine individual and contextual effects using multilevel models. The authors found support for several hypotheses drawn from their conceptual framework. The authors also showed that both citizenship status of target individuals and citizenship makeup of households were associated with the likelihood of homeownership. The findings are discussed relative to existing research and as they applied to housing policy. (PsycINFO Database Record (c) 2016 APA, all rights reserved)</t>
  </si>
  <si>
    <t>Glucose control in Korean immigrants with type 2 diabetes</t>
  </si>
  <si>
    <t>0193-9459</t>
  </si>
  <si>
    <t>Immigrant Children in Austria: Aggressive Behavior and Friendship Patterns in Multicultural School Classes</t>
  </si>
  <si>
    <t>1537-7903</t>
  </si>
  <si>
    <t>Assessing teachersâ€™ multicultural and egalitarian beliefs: The Teacher Cultural Beliefs Scale</t>
  </si>
  <si>
    <t>0742-051X</t>
  </si>
  <si>
    <t>Nativity and nutritional behaviors in the Mexican origin population living in the US-Mexico border region</t>
  </si>
  <si>
    <t>Cervantes, Richard C.; Salgado de Snyder, V. Nelly; Padilla, Amado M.</t>
  </si>
  <si>
    <t>Posttraumatic stress in immigrants from Central America and Mexico</t>
  </si>
  <si>
    <t>Hospital &amp; Community Psychiatry</t>
  </si>
  <si>
    <t>0022-1597</t>
  </si>
  <si>
    <t>http://search.ebscohost.com.proxy-ub.rug.nl/login.aspx?direct=true&amp;db=psyh&amp;AN=1989-40079-001&amp;site=ehost-live&amp;scope=site</t>
  </si>
  <si>
    <t>Investigated self-reported symptoms of depression, anxiety, somatization, generalized distress, and posttraumatic stress disorder (PTSD) in a community sample of 258 immigrants from Central America and Mexico and 329 native-born Mexican-Americans and Anglo-Americans. Research instruments included the SCL-90 (Revised) and the Center for Epidemiologic Studies Depression Scale. Findings show that immigrants had higher levels of generalized distress than native-born Americans. 52% of Central American immigrants who migrated as a result of war or political unrest reported symptoms consistent with a diagnosis of PTSD, compared with 49% of Central Americans who migrated for other reasons and 25% of Mexican immigrants. Individuals meeting the criteria for PTSD had levels of other symptoms (e.g., anxiety, depression, somatization, generalized distress) that strongly correlated with PTSD scores. (PsycINFO Database Record (c) 2016 APA, all rights reserved)</t>
  </si>
  <si>
    <t>PTSD in Vietnamese Americans following Hurricane Katrina: Prevalence, patterns, and predictors</t>
  </si>
  <si>
    <t>0-7890-2228-1</t>
  </si>
  <si>
    <t>As a consequence of worldwide waves of immigration there is a permanent increase of ethnically mixed school classes in countries all over the world. However, there is a lack of empirical studies on interethnic relationships which differentiate immigrant children based on their countries of origin. The present paper focuses on these topics and provides data of both negative and positive aspects of interethnic interactions. Direct and indirect forms of bullying, friendship patterns, and peer acceptance in 326 native and 242 immigrant children aged 11 to 14 (57% native Austrian, 22% former Yugoslavian, 14% Turkish/Kurdish, 7% rest group) in 29 ethnically mixed school classes (6th and 7th grades) were examined. Bullying was measured via the Olweus Bully/Victim Questionnaire and via peer nomination techniques, friendship patterns via self-ratings. Peer acceptance was defined by social preference scores on positive and negative sociometric items. According to peer ratings Austrian children were found to be more often victims (9%) and bullies (12%) of direct bullying than immigrant children. Prevalence rates in immigrant children varied depending on their country of origin between 2% and 8% for victims and 3% to 7% for bullies. Results suggested that Turkish/Kurdish children are at risk concerning their social integration in class (e.g., they had the fewest number of friends in Class, reported higher levels of loneliness at school, and were less accepted by their peers compared to Austrians and former Yugoslavian children). Friendship patterns differed considerably between native children and children of the three immigrant groups. Findings are discussed concerning differences in integration strategies of immigrant children depending on their country of origin. (PsycINFO Database Record (c) 2019 APA, all rights reserved)</t>
  </si>
  <si>
    <t>Kollannoor-Samuel, Grace; Chhabra, Jyoti; Fernandez, Maria Luz; Vega-LÃ³pez, Sonia; PÃ©rez, Sofia Segura; Damio, Grace; Calle, Mariana C.; D'Agostino, Darrin; PÃ©rez-Escamilla, Rafael</t>
  </si>
  <si>
    <t>Determinants of fasting plasma glucose and glycosylated hemoglobin among low income Latinos with poorly controlled type 2 diabetes</t>
  </si>
  <si>
    <t>The objective of this study was to identify demographic, socio-economic, acculturation, lifestyle, sleeping pattern, and biomedical determinants of fasting plasma glucose (FPG) and glycosylated hemoglobin (HbA1c), among Latinos with type 2 diabetes (T2D). Latino adults (N = 211) with T2D enrolled in the DIALBEST trial were interviewed in their homes. Fasting blood samples were also collected in the participantsâ€™ homes. Because all participants had poor glucose control, above-median values for FPG (173 mg/dl) and HbA1c (9.2%) were considered to be indicative of poorer glycemic control. Multivariate analyses showed that receiving heating assistance (OR: 2.20; 95% CI: 0.96â€“4.96), and having a radio (3.11, 1.16â€“8.35), were risk factors for higher FPG levels, and lower income (10.4, 1.54â€“69.30) was a risk factor for higher HbA1c levels. Lower carbohydrate intake during the previous day (0.04; 0.005â€“0.37), as well as regular physical activity (0.30; 0.13â€“0.69), breakfast (2.78; 1.10â€“6.99) and dinner skipping (3.9; 1.03â€“14.9) during previous week were significantly associated with FPG concentrations. Being middle aged (2.24, 1.12â€“4.47), 30â€“60 min of sleep during the day time (0.07, 0.01â€“0.74) and having medical insurance (0.31, 0.10â€“0.96) were predictors of HbA1c. Results suggest that contemporaneous lifestyle behaviors were associated with FPG and contextual biomedical factors such as health care access with HbA1c. Lower socio-economic status indicators were associated with poorer FPG and HbA1c glycemic control. (PsycINFO Database Record (c) 2017 APA, all rights reserved)</t>
  </si>
  <si>
    <t>Assessing the long-term effects of an experimental bilingual-multicultural programme: Implications for drop-out prevention, multicultural development and immigration policy</t>
  </si>
  <si>
    <t>Vaughn, Curtis A.</t>
  </si>
  <si>
    <t>Socialization and school adaptation: On the lifework of George De Vos</t>
  </si>
  <si>
    <t>Japanese childrearing: Two generations of scholarship.</t>
  </si>
  <si>
    <t>1-57230-081-7</t>
  </si>
  <si>
    <t>http://search.ebscohost.com.proxy-ub.rug.nl/login.aspx?direct=true&amp;db=psyh&amp;AN=1996-98703-004&amp;site=ehost-live&amp;scope=site</t>
  </si>
  <si>
    <t>Discusses G. A. De Vos's lifework on comparative research in Japanese, Japanese immigrant and Japanese-American children's adaptation and achievement motivation. (PsycINFO Database Record (c) 2019 APA, all rights reserved)</t>
  </si>
  <si>
    <t>Rich, Yisrael; Ben Ari, Rachel; Amir, Yehuda; Eliassy, Liat</t>
  </si>
  <si>
    <t>Effectiveness of schools with a mixed student body of natives and immigrants</t>
  </si>
  <si>
    <t>10.1016/0147-1767(96)00022-3</t>
  </si>
  <si>
    <t>http://search.ebscohost.com.proxy-ub.rug.nl/login.aspx?direct=true&amp;db=psyh&amp;AN=1997-07279-004&amp;site=ehost-live&amp;scope=site</t>
  </si>
  <si>
    <t>Investigated 9 junior high and 29 elementary schools with significant numbers of students who recently immigrated to Israel from the former Soviet Union to determine the characteristics of schools that effectively facilitate the social integration of immigrant children. Immigrant and native students and their teachers responded to a series of questionnaires, and interviews were conducted with school principals. Results indicate that, based on student responses, effective and ineffective schools for immigrant students could be clearly distinguished. However, most traditional indicators of school effectiveness did not differ in the 2 types of schools. It was found that the characteristics of effective schools for immigrant children were the elementary (Grades 1â€“8) rather than junior high (Grades 7â€“9) structure, immediate rather than delayed integration in the homeroom, and the appointment of an appropriate school official responsible for the welfare of immigrant students. The importance of contextual factors in the study of schooling for immigrant children is discussed. (PsycINFO Database Record (c) 2016 APA, all rights reserved)</t>
  </si>
  <si>
    <t>Ortega, Alexander N.; Feldman, Jonathan M.; Canino, Glorisa; Steinman, Kenneth; AlegrÃ­a, Margarita</t>
  </si>
  <si>
    <t>Co-occurrence of mental and physical illness in US Latinos</t>
  </si>
  <si>
    <t>0933-7954</t>
  </si>
  <si>
    <t>Cross, William E. Jr.</t>
  </si>
  <si>
    <t>Ethnicity, race, and identity</t>
  </si>
  <si>
    <t>Discovering successful pathways in children's development: Mixed methods in the study of childhood and family life.</t>
  </si>
  <si>
    <t>0-226-88664-6</t>
  </si>
  <si>
    <t>http://search.ebscohost.com.proxy-ub.rug.nl/login.aspx?direct=true&amp;db=psyh&amp;AN=2005-00763-008&amp;site=ehost-live&amp;scope=site</t>
  </si>
  <si>
    <t>Comments on two chapters (D. J. Johnson's 'The Ecology of Children's Racial Coping: Family, School, and Community Influences' [see record [rid]2005-00763-005[/rid]] and R. G. Rumbaut's 'Sites of Belonging: Acculturation, Discrimination, and Ethnic Identity among Children of Immigrants' [see record [rid]2005-00763-006[/rid]]) that appear in the book Discovering successful pathways in children's development: Mixed methods in the study of childhood and family life. Here, the current author adds a historical perspective on the use of mixed methods to study black identity and points out the blend of group identity and personality measures. He points out that although valuable new constructs were added over time in the research on black identity, the same method (self-report questionnaires) typically continued to be used to assess them. Multiple ethnic identities and situational and developmental changes in identity are clearly important, and so a true mixing of methods is needed to understand identity (considered as cognitions, feelings, and behavior) across contexts. (PsycINFO Database Record (c) 2019 APA, all rights reserved)</t>
  </si>
  <si>
    <t>Assessing a self-report health measure for non-English-speaking elders: Issues in using the SF-36 Health Survey</t>
  </si>
  <si>
    <t>1049-7315</t>
  </si>
  <si>
    <t>The impact of culture on the MCMI-III scores of African American and Caribbean Blacks</t>
  </si>
  <si>
    <t>The Millon Clinical Multiaxial Inventory-Third Edition (MCMI-III) currently ranks among the most commonly utilized personality tools. A review of the literature revealed that ethnic minorities tend to score higher on certain scales of the MMPI and MCMI compared to their White counterparts. The literature also indicated that acculturation level can serve as a moderator variable on overall performance on these measures. Most of the studies that examined racial/ethnic differences on the MCMI were conducted using the MCMI-I and MCMI-II. While many MCMI studies have explored racial differences, few studies have examined the impact of cultural factors on MCMI-III performance. To date, there is no empirical data on the impact of culture on the MCMI-III scores of Blacks from different cultural backgrounds. Given the significant increase in the number of Black immigrants to the United States especially from the Caribbean and Africa, Black Americans are becoming an even more diverse group, representing different cultures and nationalities. In the current study, the performance of African Americans (n = 52) and Caribbean Blacks (n = 77) were compared on the Antisocial, Narcissistic, Paranoid, and Delusional Disorder scales of the MCMI-III. Attempts were also made to compare Blacks in the current sample to the MCMI-IIIâ€™s development sample. Additionally, the impact of cultural variables was examined using the African American Acculturation Scaled-Revised (AAAS-R). Multivariate Analysis of Variance procedure revealed no significant difference in performance between the two groups on the select scales of the MCMI-III (p =.883). Additional analyses revealed significant difference between the two groups on the Compulsive scale: Caribbean Blacks obtained a higher mean (Cohenâ€™s d =.-50. F = 6.663, p = .011). Analyses comparing the Blacks in the current sample to the MCMI-IIIâ€™s development sample indicated the following: (a) a significant difference between the two groups on the Antisocial, Narcissistic, and Delusional Disorder Scales and (b) no significant difference between the two groups on the Paranoid scale (p = .559). Supplemental analysis revealed moderate association between the Paranoid and Delusional Disorder Scales of the MCMI-III and certain scales of the AAAS-R, implying both a degree of item overlap and similar item content. (PsycINFO Database Record (c) 2016 APA, all rights reserved)</t>
  </si>
  <si>
    <t>The relationship between perceived social status, stress, and health in Mexican American immigrants</t>
  </si>
  <si>
    <t>First language maintenance and attrition among young Chinese adult immigrants: A multi-case study</t>
  </si>
  <si>
    <t>Coronary heart disease risk and risk perception in Korean immigrants with type 2 diabetes</t>
  </si>
  <si>
    <t>Kollannoor-Samuel, Grace; Wagner, Julie; Damio, Grace; Segura-PÃ©rez, Sofia; Chhabra, Jyoti; Vega-LÃ³pez, Sonia; PÃ©rez-Escamilla, Rafael</t>
  </si>
  <si>
    <t>Social support modifies the association between household food insecurity and depression among Latinos with uncontrolled type 2 diabetes</t>
  </si>
  <si>
    <t>Prevalence of depression is high among individuals with type 2 diabetes (T2D). The objective of the current study was to identify the socio-demographic, psychosocial, cultural, and clinical risk factors that predispose to depression, and resources that protect from depression among low income Latinos with T2D. Participants (N = 211) were interviewed in their homes upon enrollment. Multivariate logistic regression was used to identify factors associated with depressive symptoms based on a score of â‰¥21 on the Center for Epidemiological Studies Depression scale. Lower household income, interference of diabetes with daily activities, and more T2D clinical symptoms were associated with depression risk in the multivariate analyses. At each level of food insecurity the risk of depression was lower the higher the level of social support (P &lt; 0.05). Findings suggest that social support buffers against the negative influence of household food insecurity on depression risk. A comprehensive approach is necessary to address the mental health needs of low income Latinos with T2D. (PsycINFO Database Record (c) 2018 APA, all rights reserved)</t>
  </si>
  <si>
    <t>Flaherty, Joseph A.; Kohn, Robert; Levav, Itzhak; Birz, Susan</t>
  </si>
  <si>
    <t>Demoralization in Soviet-Jewish immigrants to the United States and Israel</t>
  </si>
  <si>
    <t>10.1016/0010-440X(88)90079-X</t>
  </si>
  <si>
    <t>http://search.ebscohost.com.proxy-ub.rug.nl/login.aspx?direct=true&amp;db=psyh&amp;AN=1991-18534-001&amp;site=ehost-live&amp;scope=site</t>
  </si>
  <si>
    <t>Examined whether immigration to Israel or to the US resulted in more symptoms of depression and demoralization among 272 Soviet-Jewish immigrants (aged 18+ yrs) who immigrated to the US since 1970 and 450 Soviet-Jewish immigrants who immigrated to Israel since 1970. Measures included a social support network inventory. Demoralization was significantly higher in the US, and social support was significantly lower. Among immigrants to Israel, those who described themselves as 'Russian' were more demoralized than those who described themselves as 'Israeli' or 'Jew.' Rejection or acceptance by the population of the host nation is explored to explain the differences between the 2 groups of immigrants. (PsycINFO Database Record (c) 2016 APA, all rights reserved)</t>
  </si>
  <si>
    <t>Kohn, Robert; Flaherty, Joseph A.; Levav, Itzhak</t>
  </si>
  <si>
    <t>Somatic symptoms among older Soviet immigrants: An exploratory study</t>
  </si>
  <si>
    <t>10.1177/002076408903500408</t>
  </si>
  <si>
    <t>http://search.ebscohost.com.proxy-ub.rug.nl/login.aspx?direct=true&amp;db=psyh&amp;AN=1990-19775-001&amp;site=ehost-live&amp;scope=site</t>
  </si>
  <si>
    <t>Investigated the overlap of somatization (SM) and depressive symptoms among 55 older Soviet-Jewish immigrants (aged 50+ yrs) to the US. Ss completed the SCL-90, a demoralization scale, and the Social Support Network Inventory of J. A. Flaherty et al (see record [rid]1984-22178-001[/rid]). SM, depression, and demoralization were elevated in Ss. All SCL-90 subscales analyzed were significantly correlated with demoralization. Lower levels of social support in Ss were only partially confirmed. (PsycINFO Database Record (c) 2016 APA, all rights reserved)</t>
  </si>
  <si>
    <t>Estrada, Maria Teresa</t>
  </si>
  <si>
    <t>Security of attachment in children of Central American immigrants: An examination of mother-infant interactions</t>
  </si>
  <si>
    <t>http://search.ebscohost.com.proxy-ub.rug.nl/login.aspx?direct=true&amp;db=psyh&amp;AN=1995-95013-209&amp;site=ehost-live&amp;scope=site</t>
  </si>
  <si>
    <t>In an effort to focus further attention on subcultural groups living in the United States, the relationship between stress, maternal sensitivity, and attachment was assessed in a Central American immigrant sample living in the Washington, D.C. metropolitan area. Forty-seven Central American infant-mother dyads were observed at home during feeding episodes when the infants were four, eight, and twelve months of age and Ainsworth's Strange Situation procedure at twelve months of age. Videotapes of infant-mother interaction were coded for specific behavioral sequences deemed appropriate, responsive, and intrusive in addition to being rated on dimensions of maternal sensitivity. Questionnaires regarding maternal background, stress, and living conditions were administered throughout the study to add descriptive information as well as an explanatory component to the data gathered during the home observations. Acculturation factors such as language skills, financial resources, a stable residence, and informal social support networks were related to maternal stress. Developmental trends reflecting the emerging autonomy of the infant and maternal ceding of control were noted. Regression analyses showed that stress scores predicted sensitivity ratings but were not able to predict sensitive behavioral sequences. Expectations that maternal sensitivity measures would predict the security of infant attachment at twelve months of age were not met. Unlike distributions found among other immigrant samples, attachment classification rates in the current sample mirrored normative distributions; however, a greater proportion of infants were found in the resistant category than in the avoidant category. Key considerations for future use of microbehavioral analysis suggest that while the use of microcodes provides detailed objective information, it may not allow for subjective inferences. Future research considering the unique features of individual subcultures was recommended. Such eff (PsycINFO Database Record (c) 2016 APA, all rights reserved)</t>
  </si>
  <si>
    <t>Castro, Laura Marie</t>
  </si>
  <si>
    <t>The effects of bilingual education on self-esteem and ethnic identity in Mexican children</t>
  </si>
  <si>
    <t>http://search.ebscohost.com.proxy-ub.rug.nl/login.aspx?direct=true&amp;db=psyh&amp;AN=2000-95019-020&amp;site=ehost-live&amp;scope=site</t>
  </si>
  <si>
    <t>There have been few empirical studies, which have explored the self-esteem and ethnic identity of Mexican immigrant children in bilingual education classrooms. This study examines these issues. The target population for this study was bilingual Mexican immigrant children in the 3rd and 4th grade. The subjects were boys and girls, 43 children in bilingual education, and 31 children from English-only classrooms. These 74 children were recruited from two bay area elementary schools. Results of this study found no significant differences in self-esteem scores between children in bilingual education when compared with those in English only classroom, except on the anxiety subscale of the Piers-Harris. The children in bilingual education revealed a higher level of anxiety. Each child in the study was administered three questionnaires; two self-esteem measures and an ethnic identity questionnaire. The classroom teacher completed a children's acculturation scale. The data was analyzed using a multiple linear regression. (PsycINFO Database Record (c) 2016 APA, all rights reserved)</t>
  </si>
  <si>
    <t>Padilla, Elena</t>
  </si>
  <si>
    <t>Up from Puerto Rico</t>
  </si>
  <si>
    <t>http://search.ebscohost.com.proxy-ub.rug.nl/login.aspx?direct=true&amp;db=psyh&amp;AN=1959-03632-000&amp;site=ehost-live&amp;scope=site</t>
  </si>
  <si>
    <t>This is an anthropological study on Puerto Ricans who live in the slums of New York City. It has to do with living in poverty, with coming to New York, with what happens to the uprooted family, health, changing traditions and values of Puerto Ricans. Participant observation, informal, hidden or focussed interviews, questionnaires were some of the techniques used in this investigation. The influence of Parsons, Merton, Hyman, Romans, Whyte, and Lewin is reflected throughout the book. 'Where They Live,' 'The 'We Feeling' Among Puerto Ricans,' 'Living with Others in the Neighborhood,' 'Family and Kinship,' 'Cliques and the Social Grapevine,' 'Hispanos and the Larger Society,' 'Health and Life Stress,' 'Migrants: Transients or Settlers,' are some of the title chapters of the book. (PsycINFO Database Record (c) 2016 APA, all rights reserved)</t>
  </si>
  <si>
    <t>AbstractScreening</t>
  </si>
  <si>
    <t>AbstractNote</t>
  </si>
  <si>
    <t>Source</t>
  </si>
  <si>
    <t>Search2021</t>
  </si>
  <si>
    <t>Search2020</t>
  </si>
  <si>
    <t>SearchDuplicate</t>
  </si>
  <si>
    <t>Reasons for Exclusion</t>
  </si>
  <si>
    <t>Explanation</t>
  </si>
  <si>
    <t>e.g., rural-urban</t>
  </si>
  <si>
    <t>e.g., majority focus</t>
  </si>
  <si>
    <t>incl., purely descriptive studies and replications in migrant populations. E.g., mental health of migrant group in general (mental health only)</t>
  </si>
  <si>
    <t>e.g., migration status as definition or measurement of acculturation</t>
  </si>
  <si>
    <t>not accessible</t>
  </si>
  <si>
    <t>e.g., books or theses</t>
  </si>
  <si>
    <t>not ABCD</t>
  </si>
  <si>
    <t>not integration</t>
  </si>
  <si>
    <t>stress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</si>
</sst>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font>
    <font>
      <sz val="10"/>
      <color theme="1"/>
      <name val="Arial"/>
      <family val="2"/>
    </font>
    <font>
      <sz val="12"/>
      <color rgb="FF9C0006"/>
      <name val="Calibri"/>
      <family val="2"/>
    </font>
    <font>
      <sz val="12"/>
      <color rgb="FF006100"/>
      <name val="Calibri"/>
      <family val="2"/>
    </font>
    <font>
      <sz val="12"/>
      <color rgb="FF006100"/>
      <name val="Arial"/>
      <family val="2"/>
    </font>
    <font>
      <sz val="12"/>
      <color rgb="FFFF0000"/>
      <name val="Calibri"/>
      <family val="2"/>
    </font>
    <font>
      <u/>
      <sz val="12"/>
      <color theme="10"/>
      <name val="Calibri"/>
      <family val="2"/>
      <scheme val="minor"/>
    </font>
    <font>
      <sz val="11"/>
      <color rgb="FF000000"/>
      <name val="Inconsolata"/>
    </font>
    <font>
      <sz val="10"/>
      <color rgb="FF000000"/>
      <name val="Roboto"/>
    </font>
    <font>
      <sz val="11"/>
      <color rgb="FF333333"/>
      <name val="Arial"/>
      <family val="2"/>
    </font>
    <font>
      <sz val="11"/>
      <color rgb="FF000000"/>
      <name val="Arial"/>
      <family val="2"/>
    </font>
    <font>
      <sz val="8"/>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xf numFmtId="0" fontId="24" fillId="0" borderId="0" applyNumberFormat="0" applyFill="0" applyBorder="0" applyAlignment="0" applyProtection="0"/>
  </cellStyleXfs>
  <cellXfs count="23">
    <xf numFmtId="0" fontId="0" fillId="0" borderId="0" xfId="0"/>
    <xf numFmtId="16" fontId="0" fillId="0" borderId="0" xfId="0" applyNumberFormat="1"/>
    <xf numFmtId="164" fontId="0" fillId="0" borderId="0" xfId="0" applyNumberFormat="1"/>
    <xf numFmtId="0" fontId="18" fillId="0" borderId="0" xfId="0" applyFont="1"/>
    <xf numFmtId="0" fontId="19" fillId="0" borderId="0" xfId="0" applyFont="1"/>
    <xf numFmtId="0" fontId="24" fillId="0" borderId="0" xfId="42"/>
    <xf numFmtId="0" fontId="20" fillId="0" borderId="0" xfId="0" applyFont="1"/>
    <xf numFmtId="14" fontId="18" fillId="0" borderId="0" xfId="0" applyNumberFormat="1" applyFont="1"/>
    <xf numFmtId="0" fontId="21" fillId="0" borderId="0" xfId="0" applyFont="1"/>
    <xf numFmtId="0" fontId="22" fillId="0" borderId="0" xfId="0" applyFont="1"/>
    <xf numFmtId="16" fontId="18" fillId="0" borderId="0" xfId="0" applyNumberFormat="1" applyFont="1"/>
    <xf numFmtId="17" fontId="0" fillId="0" borderId="0" xfId="0" applyNumberFormat="1"/>
    <xf numFmtId="17" fontId="18" fillId="0" borderId="0" xfId="0" applyNumberFormat="1" applyFont="1"/>
    <xf numFmtId="0" fontId="23" fillId="0" borderId="0" xfId="0" applyFont="1"/>
    <xf numFmtId="0" fontId="25" fillId="0" borderId="0" xfId="0" applyFont="1"/>
    <xf numFmtId="0" fontId="26" fillId="0" borderId="0" xfId="0" applyFont="1"/>
    <xf numFmtId="0" fontId="19" fillId="0" borderId="0" xfId="0" applyFont="1" applyAlignment="1">
      <alignment wrapText="1"/>
    </xf>
    <xf numFmtId="0" fontId="27" fillId="0" borderId="0" xfId="0" applyFont="1"/>
    <xf numFmtId="0" fontId="28" fillId="0" borderId="0" xfId="0" applyFont="1"/>
    <xf numFmtId="0" fontId="16" fillId="0" borderId="0" xfId="0" applyFont="1"/>
    <xf numFmtId="0" fontId="30" fillId="0" borderId="0" xfId="0" applyFont="1"/>
    <xf numFmtId="0" fontId="30" fillId="0" borderId="0" xfId="0" applyFont="1" applyFill="1"/>
    <xf numFmtId="0" fontId="0" fillId="0" borderId="0" xfId="0" applyFill="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ntegrationReviewEmpirical2021-02-03"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arch.ebscohost.com.proxy-ub.rug.nl/login.aspx?direct=true&amp;db=psyh&amp;AN=2015-99200-461&amp;site=ehost-live&amp;scope=site" TargetMode="External"/><Relationship Id="rId299" Type="http://schemas.openxmlformats.org/officeDocument/2006/relationships/hyperlink" Target="http://search.ebscohost.com.proxy-ub.rug.nl/login.aspx?direct=true&amp;db=psyh&amp;AN=2001-09150-001&amp;site=ehost-live&amp;scope=site" TargetMode="External"/><Relationship Id="rId21" Type="http://schemas.openxmlformats.org/officeDocument/2006/relationships/hyperlink" Target="http://search.ebscohost.com.proxy-ub.rug.nl/login.aspx?direct=true&amp;db=psyh&amp;AN=2018-26985-001&amp;site=ehost-live&amp;scope=site" TargetMode="External"/><Relationship Id="rId63" Type="http://schemas.openxmlformats.org/officeDocument/2006/relationships/hyperlink" Target="http://search.ebscohost.com.proxy-ub.rug.nl/login.aspx?direct=true&amp;db=psyh&amp;AN=2018-03678-004&amp;site=ehost-live&amp;scope=site" TargetMode="External"/><Relationship Id="rId159" Type="http://schemas.openxmlformats.org/officeDocument/2006/relationships/hyperlink" Target="http://search.ebscohost.com.proxy-ub.rug.nl/login.aspx?direct=true&amp;db=psyh&amp;AN=2012-29551-004&amp;site=ehost-live&amp;scope=site" TargetMode="External"/><Relationship Id="rId324" Type="http://schemas.openxmlformats.org/officeDocument/2006/relationships/hyperlink" Target="http://search.ebscohost.com.proxy-ub.rug.nl/login.aspx?direct=true&amp;db=psyh&amp;AN=2015-06034-001&amp;site=ehost-live&amp;scope=site" TargetMode="External"/><Relationship Id="rId366" Type="http://schemas.openxmlformats.org/officeDocument/2006/relationships/hyperlink" Target="http://search.ebscohost.com.proxy-ub.rug.nl/login.aspx?direct=true&amp;db=psyh&amp;AN=2015-99070-136&amp;site=ehost-live&amp;scope=site" TargetMode="External"/><Relationship Id="rId170" Type="http://schemas.openxmlformats.org/officeDocument/2006/relationships/hyperlink" Target="http://search.ebscohost.com.proxy-ub.rug.nl/login.aspx?direct=true&amp;db=psyh&amp;AN=2013-30315-006&amp;site=ehost-live&amp;scope=site" TargetMode="External"/><Relationship Id="rId226" Type="http://schemas.openxmlformats.org/officeDocument/2006/relationships/hyperlink" Target="http://search.ebscohost.com.proxy-ub.rug.nl/login.aspx?direct=true&amp;db=psyh&amp;AN=2005-10981-005&amp;site=ehost-live&amp;scope=site" TargetMode="External"/><Relationship Id="rId433" Type="http://schemas.openxmlformats.org/officeDocument/2006/relationships/hyperlink" Target="http://search.ebscohost.com.proxy-ub.rug.nl/login.aspx?direct=true&amp;db=psyh&amp;AN=2011-01094-013&amp;site=ehost-live&amp;scope=site" TargetMode="External"/><Relationship Id="rId268" Type="http://schemas.openxmlformats.org/officeDocument/2006/relationships/hyperlink" Target="http://search.ebscohost.com.proxy-ub.rug.nl/login.aspx?direct=true&amp;db=psyh&amp;AN=2003-99575-004&amp;site=ehost-live&amp;scope=site" TargetMode="External"/><Relationship Id="rId475" Type="http://schemas.openxmlformats.org/officeDocument/2006/relationships/hyperlink" Target="http://search.ebscohost.com.proxy-ub.rug.nl/login.aspx?direct=true&amp;db=psyh&amp;AN=1995-95013-209&amp;site=ehost-live&amp;scope=site" TargetMode="External"/><Relationship Id="rId32" Type="http://schemas.openxmlformats.org/officeDocument/2006/relationships/hyperlink" Target="http://search.ebscohost.com.proxy-ub.rug.nl/login.aspx?direct=true&amp;db=psyh&amp;AN=2012-17281-007&amp;site=ehost-live&amp;scope=site" TargetMode="External"/><Relationship Id="rId74" Type="http://schemas.openxmlformats.org/officeDocument/2006/relationships/hyperlink" Target="http://search.ebscohost.com.proxy-ub.rug.nl/login.aspx?direct=true&amp;db=psyh&amp;AN=2008-04724-013&amp;site=ehost-live&amp;scope=site" TargetMode="External"/><Relationship Id="rId128" Type="http://schemas.openxmlformats.org/officeDocument/2006/relationships/hyperlink" Target="http://search.ebscohost.com.proxy-ub.rug.nl/login.aspx?direct=true&amp;db=psyh&amp;AN=2018-01712-004&amp;site=ehost-live&amp;scope=site" TargetMode="External"/><Relationship Id="rId335" Type="http://schemas.openxmlformats.org/officeDocument/2006/relationships/hyperlink" Target="http://search.ebscohost.com.proxy-ub.rug.nl/login.aspx?direct=true&amp;db=psyh&amp;AN=2014-46296-002&amp;site=ehost-live&amp;scope=site" TargetMode="External"/><Relationship Id="rId377" Type="http://schemas.openxmlformats.org/officeDocument/2006/relationships/hyperlink" Target="http://search.ebscohost.com.proxy-ub.rug.nl/login.aspx?direct=true&amp;db=psyh&amp;AN=2012-26101-001&amp;site=ehost-live&amp;scope=site" TargetMode="External"/><Relationship Id="rId5" Type="http://schemas.openxmlformats.org/officeDocument/2006/relationships/hyperlink" Target="http://search.ebscohost.com.proxy-ub.rug.nl/login.aspx?direct=true&amp;db=psyh&amp;AN=2018-66762-005&amp;site=ehost-live&amp;scope=site" TargetMode="External"/><Relationship Id="rId181" Type="http://schemas.openxmlformats.org/officeDocument/2006/relationships/hyperlink" Target="http://search.ebscohost.com.proxy-ub.rug.nl/login.aspx?direct=true&amp;db=psyh&amp;AN=2014-99130-300&amp;site=ehost-live&amp;scope=site" TargetMode="External"/><Relationship Id="rId237" Type="http://schemas.openxmlformats.org/officeDocument/2006/relationships/hyperlink" Target="http://search.ebscohost.com.proxy-ub.rug.nl/login.aspx?direct=true&amp;db=psyh&amp;AN=2018-38610-001&amp;site=ehost-live&amp;scope=site" TargetMode="External"/><Relationship Id="rId402" Type="http://schemas.openxmlformats.org/officeDocument/2006/relationships/hyperlink" Target="http://search.ebscohost.com.proxy-ub.rug.nl/login.aspx?direct=true&amp;db=psyh&amp;AN=1985-12109-001&amp;site=ehost-live&amp;scope=site" TargetMode="External"/><Relationship Id="rId279" Type="http://schemas.openxmlformats.org/officeDocument/2006/relationships/hyperlink" Target="http://search.ebscohost.com.proxy-ub.rug.nl/login.aspx?direct=true&amp;db=psyh&amp;AN=2001-95020-024&amp;site=ehost-live&amp;scope=site" TargetMode="External"/><Relationship Id="rId444" Type="http://schemas.openxmlformats.org/officeDocument/2006/relationships/hyperlink" Target="http://search.ebscohost.com.proxy-ub.rug.nl/login.aspx?direct=true&amp;db=psyh&amp;AN=1996-98703-004&amp;site=ehost-live&amp;scope=site" TargetMode="External"/><Relationship Id="rId43" Type="http://schemas.openxmlformats.org/officeDocument/2006/relationships/hyperlink" Target="http://search.ebscohost.com.proxy-ub.rug.nl/login.aspx?direct=true&amp;db=psyh&amp;AN=2015-40635-001&amp;site=ehost-live&amp;scope=site" TargetMode="External"/><Relationship Id="rId139" Type="http://schemas.openxmlformats.org/officeDocument/2006/relationships/hyperlink" Target="http://search.ebscohost.com.proxy-ub.rug.nl/login.aspx?direct=true&amp;db=psyh&amp;AN=2017-53660-002&amp;site=ehost-live&amp;scope=site" TargetMode="External"/><Relationship Id="rId290" Type="http://schemas.openxmlformats.org/officeDocument/2006/relationships/hyperlink" Target="http://search.ebscohost.com.proxy-ub.rug.nl/login.aspx?direct=true&amp;db=psyh&amp;AN=1991-12434-001&amp;site=ehost-live&amp;scope=site" TargetMode="External"/><Relationship Id="rId304" Type="http://schemas.openxmlformats.org/officeDocument/2006/relationships/hyperlink" Target="http://search.ebscohost.com.proxy-ub.rug.nl/login.aspx?direct=true&amp;db=psyh&amp;AN=2016-04918-003&amp;site=ehost-live&amp;scope=site" TargetMode="External"/><Relationship Id="rId346" Type="http://schemas.openxmlformats.org/officeDocument/2006/relationships/hyperlink" Target="http://search.ebscohost.com.proxy-ub.rug.nl/login.aspx?direct=true&amp;db=psyh&amp;AN=2011-99090-102&amp;site=ehost-live&amp;scope=site" TargetMode="External"/><Relationship Id="rId388" Type="http://schemas.openxmlformats.org/officeDocument/2006/relationships/hyperlink" Target="http://search.ebscohost.com.proxy-ub.rug.nl/login.aspx?direct=true&amp;db=psyh&amp;AN=2006-21059-005&amp;site=ehost-live&amp;scope=site" TargetMode="External"/><Relationship Id="rId85" Type="http://schemas.openxmlformats.org/officeDocument/2006/relationships/hyperlink" Target="http://search.ebscohost.com.proxy-ub.rug.nl/login.aspx?direct=true&amp;db=psyh&amp;AN=2014-47452-034&amp;site=ehost-live&amp;scope=site" TargetMode="External"/><Relationship Id="rId150" Type="http://schemas.openxmlformats.org/officeDocument/2006/relationships/hyperlink" Target="http://search.ebscohost.com.proxy-ub.rug.nl/login.aspx?direct=true&amp;db=psyh&amp;AN=2015-17017-004&amp;site=ehost-live&amp;scope=site" TargetMode="External"/><Relationship Id="rId192" Type="http://schemas.openxmlformats.org/officeDocument/2006/relationships/hyperlink" Target="http://search.ebscohost.com.proxy-ub.rug.nl/login.aspx?direct=true&amp;db=psyh&amp;AN=2010-20930-003&amp;site=ehost-live&amp;scope=site" TargetMode="External"/><Relationship Id="rId206" Type="http://schemas.openxmlformats.org/officeDocument/2006/relationships/hyperlink" Target="http://search.ebscohost.com.proxy-ub.rug.nl/login.aspx?direct=true&amp;db=psyh&amp;AN=2017-43829-036&amp;site=ehost-live&amp;scope=site" TargetMode="External"/><Relationship Id="rId413" Type="http://schemas.openxmlformats.org/officeDocument/2006/relationships/hyperlink" Target="http://search.ebscohost.com.proxy-ub.rug.nl/login.aspx?direct=true&amp;db=psyh&amp;AN=2010-08843-010&amp;site=ehost-live&amp;scope=site" TargetMode="External"/><Relationship Id="rId248" Type="http://schemas.openxmlformats.org/officeDocument/2006/relationships/hyperlink" Target="http://search.ebscohost.com.proxy-ub.rug.nl/login.aspx?direct=true&amp;db=psyh&amp;AN=2010-00608-003&amp;site=ehost-live&amp;scope=site" TargetMode="External"/><Relationship Id="rId455" Type="http://schemas.openxmlformats.org/officeDocument/2006/relationships/hyperlink" Target="http://search.ebscohost.com.proxy-ub.rug.nl/login.aspx?direct=true&amp;db=psyh&amp;AN=2005-00763-008&amp;site=ehost-live&amp;scope=site" TargetMode="External"/><Relationship Id="rId12" Type="http://schemas.openxmlformats.org/officeDocument/2006/relationships/hyperlink" Target="http://search.ebscohost.com.proxy-ub.rug.nl/login.aspx?direct=true&amp;db=psyh&amp;AN=2018-66762-007&amp;site=ehost-live&amp;scope=site" TargetMode="External"/><Relationship Id="rId108" Type="http://schemas.openxmlformats.org/officeDocument/2006/relationships/hyperlink" Target="http://search.ebscohost.com.proxy-ub.rug.nl/login.aspx?direct=true&amp;db=psyh&amp;AN=2015-15987-005&amp;site=ehost-live&amp;scope=site" TargetMode="External"/><Relationship Id="rId315" Type="http://schemas.openxmlformats.org/officeDocument/2006/relationships/hyperlink" Target="http://search.ebscohost.com.proxy-ub.rug.nl/login.aspx?direct=true&amp;db=psyh&amp;AN=2012-99200-310&amp;site=ehost-live&amp;scope=site" TargetMode="External"/><Relationship Id="rId357" Type="http://schemas.openxmlformats.org/officeDocument/2006/relationships/hyperlink" Target="http://search.ebscohost.com.proxy-ub.rug.nl/login.aspx?direct=true&amp;db=psyh&amp;AN=2014-57422-013&amp;site=ehost-live&amp;scope=site" TargetMode="External"/><Relationship Id="rId54" Type="http://schemas.openxmlformats.org/officeDocument/2006/relationships/hyperlink" Target="http://search.ebscohost.com.proxy-ub.rug.nl/login.aspx?direct=true&amp;db=psyh&amp;AN=2017-26324-004&amp;site=ehost-live&amp;scope=site" TargetMode="External"/><Relationship Id="rId96" Type="http://schemas.openxmlformats.org/officeDocument/2006/relationships/hyperlink" Target="http://search.ebscohost.com.proxy-ub.rug.nl/login.aspx?direct=true&amp;db=psyh&amp;AN=2016-30070-004&amp;site=ehost-live&amp;scope=site" TargetMode="External"/><Relationship Id="rId161" Type="http://schemas.openxmlformats.org/officeDocument/2006/relationships/hyperlink" Target="http://search.ebscohost.com.proxy-ub.rug.nl/login.aspx?direct=true&amp;db=psyh&amp;AN=2015-42601-002&amp;site=ehost-live&amp;scope=site" TargetMode="External"/><Relationship Id="rId217" Type="http://schemas.openxmlformats.org/officeDocument/2006/relationships/hyperlink" Target="http://search.ebscohost.com.proxy-ub.rug.nl/login.aspx?direct=true&amp;db=psyh&amp;AN=2006-20023-001&amp;site=ehost-live&amp;scope=site" TargetMode="External"/><Relationship Id="rId399" Type="http://schemas.openxmlformats.org/officeDocument/2006/relationships/hyperlink" Target="http://search.ebscohost.com.proxy-ub.rug.nl/login.aspx?direct=true&amp;db=psyh&amp;AN=1990-14455-001&amp;site=ehost-live&amp;scope=site" TargetMode="External"/><Relationship Id="rId259" Type="http://schemas.openxmlformats.org/officeDocument/2006/relationships/hyperlink" Target="http://search.ebscohost.com.proxy-ub.rug.nl/login.aspx?direct=true&amp;db=psyh&amp;AN=2012-99120-204&amp;site=ehost-live&amp;scope=site" TargetMode="External"/><Relationship Id="rId424" Type="http://schemas.openxmlformats.org/officeDocument/2006/relationships/hyperlink" Target="http://search.ebscohost.com.proxy-ub.rug.nl/login.aspx?direct=true&amp;db=psyh&amp;AN=2005-15047-004&amp;site=ehost-live&amp;scope=site" TargetMode="External"/><Relationship Id="rId466" Type="http://schemas.openxmlformats.org/officeDocument/2006/relationships/hyperlink" Target="http://search.ebscohost.com.proxy-ub.rug.nl/login.aspx?direct=true&amp;db=psyh&amp;AN=2002-95001-117&amp;site=ehost-live&amp;scope=site" TargetMode="External"/><Relationship Id="rId23" Type="http://schemas.openxmlformats.org/officeDocument/2006/relationships/hyperlink" Target="http://search.ebscohost.com.proxy-ub.rug.nl/login.aspx?direct=true&amp;db=psyh&amp;AN=2008-00467-008&amp;site=ehost-live&amp;scope=site" TargetMode="External"/><Relationship Id="rId119" Type="http://schemas.openxmlformats.org/officeDocument/2006/relationships/hyperlink" Target="http://search.ebscohost.com.proxy-ub.rug.nl/login.aspx?direct=true&amp;db=psyh&amp;AN=2018-61623-001&amp;site=ehost-live&amp;scope=site" TargetMode="External"/><Relationship Id="rId270" Type="http://schemas.openxmlformats.org/officeDocument/2006/relationships/hyperlink" Target="http://search.ebscohost.com.proxy-ub.rug.nl/login.aspx?direct=true&amp;db=psyh&amp;AN=2004-17080-001&amp;site=ehost-live&amp;scope=site" TargetMode="External"/><Relationship Id="rId326" Type="http://schemas.openxmlformats.org/officeDocument/2006/relationships/hyperlink" Target="http://search.ebscohost.com.proxy-ub.rug.nl/login.aspx?direct=true&amp;db=psyh&amp;AN=2013-36215-003&amp;site=ehost-live&amp;scope=site" TargetMode="External"/><Relationship Id="rId65" Type="http://schemas.openxmlformats.org/officeDocument/2006/relationships/hyperlink" Target="http://search.ebscohost.com.proxy-ub.rug.nl/login.aspx?direct=true&amp;db=psyh&amp;AN=2016-59182-009&amp;site=ehost-live&amp;scope=site" TargetMode="External"/><Relationship Id="rId130" Type="http://schemas.openxmlformats.org/officeDocument/2006/relationships/hyperlink" Target="http://search.ebscohost.com.proxy-ub.rug.nl/login.aspx?direct=true&amp;db=psyh&amp;AN=2010-11881-001&amp;site=ehost-live&amp;scope=site" TargetMode="External"/><Relationship Id="rId368" Type="http://schemas.openxmlformats.org/officeDocument/2006/relationships/hyperlink" Target="http://search.ebscohost.com.proxy-ub.rug.nl/login.aspx?direct=true&amp;db=psyh&amp;AN=2011-28755-007&amp;site=ehost-live&amp;scope=site" TargetMode="External"/><Relationship Id="rId172" Type="http://schemas.openxmlformats.org/officeDocument/2006/relationships/hyperlink" Target="http://search.ebscohost.com.proxy-ub.rug.nl/login.aspx?direct=true&amp;db=psyh&amp;AN=2016-10395-001&amp;site=ehost-live&amp;scope=site" TargetMode="External"/><Relationship Id="rId228" Type="http://schemas.openxmlformats.org/officeDocument/2006/relationships/hyperlink" Target="http://search.ebscohost.com.proxy-ub.rug.nl/login.aspx?direct=true&amp;db=psyh&amp;AN=2009-02607-008&amp;site=ehost-live&amp;scope=site" TargetMode="External"/><Relationship Id="rId435" Type="http://schemas.openxmlformats.org/officeDocument/2006/relationships/hyperlink" Target="http://search.ebscohost.com.proxy-ub.rug.nl/login.aspx?direct=true&amp;db=psyh&amp;AN=2009-05712-002&amp;site=ehost-live&amp;scope=site" TargetMode="External"/><Relationship Id="rId477" Type="http://schemas.openxmlformats.org/officeDocument/2006/relationships/hyperlink" Target="http://search.ebscohost.com.proxy-ub.rug.nl/login.aspx?direct=true&amp;db=psyh&amp;AN=1959-03632-000&amp;site=ehost-live&amp;scope=site" TargetMode="External"/><Relationship Id="rId281" Type="http://schemas.openxmlformats.org/officeDocument/2006/relationships/hyperlink" Target="http://search.ebscohost.com.proxy-ub.rug.nl/login.aspx?direct=true&amp;db=psyh&amp;AN=2006-05632-002&amp;site=ehost-live&amp;scope=site" TargetMode="External"/><Relationship Id="rId337" Type="http://schemas.openxmlformats.org/officeDocument/2006/relationships/hyperlink" Target="http://search.ebscohost.com.proxy-ub.rug.nl/login.aspx?direct=true&amp;db=psyh&amp;AN=1990-26890-001&amp;site=ehost-live&amp;scope=site" TargetMode="External"/><Relationship Id="rId34" Type="http://schemas.openxmlformats.org/officeDocument/2006/relationships/hyperlink" Target="http://search.ebscohost.com.proxy-ub.rug.nl/login.aspx?direct=true&amp;db=psyh&amp;AN=2018-31972-007&amp;site=ehost-live&amp;scope=site" TargetMode="External"/><Relationship Id="rId76" Type="http://schemas.openxmlformats.org/officeDocument/2006/relationships/hyperlink" Target="http://search.ebscohost.com.proxy-ub.rug.nl/login.aspx?direct=true&amp;db=psyh&amp;AN=2014-99141-059&amp;site=ehost-live&amp;scope=site" TargetMode="External"/><Relationship Id="rId141" Type="http://schemas.openxmlformats.org/officeDocument/2006/relationships/hyperlink" Target="http://search.ebscohost.com.proxy-ub.rug.nl/login.aspx?direct=true&amp;db=psyh&amp;AN=2015-41038-001&amp;site=ehost-live&amp;scope=site" TargetMode="External"/><Relationship Id="rId379" Type="http://schemas.openxmlformats.org/officeDocument/2006/relationships/hyperlink" Target="http://search.ebscohost.com.proxy-ub.rug.nl/login.aspx?direct=true&amp;db=psyh&amp;AN=2012-29071-001&amp;site=ehost-live&amp;scope=site" TargetMode="External"/><Relationship Id="rId7" Type="http://schemas.openxmlformats.org/officeDocument/2006/relationships/hyperlink" Target="http://search.ebscohost.com.proxy-ub.rug.nl/login.aspx?direct=true&amp;db=psyh&amp;AN=2017-53660-017&amp;site=ehost-live&amp;scope=site" TargetMode="External"/><Relationship Id="rId183" Type="http://schemas.openxmlformats.org/officeDocument/2006/relationships/hyperlink" Target="http://search.ebscohost.com.proxy-ub.rug.nl/login.aspx?direct=true&amp;db=psyh&amp;AN=2010-24074-009&amp;site=ehost-live&amp;scope=site" TargetMode="External"/><Relationship Id="rId239" Type="http://schemas.openxmlformats.org/officeDocument/2006/relationships/hyperlink" Target="http://search.ebscohost.com.proxy-ub.rug.nl/login.aspx?direct=true&amp;db=psyh&amp;AN=2014-21376-013&amp;site=ehost-live&amp;scope=site" TargetMode="External"/><Relationship Id="rId390" Type="http://schemas.openxmlformats.org/officeDocument/2006/relationships/hyperlink" Target="http://search.ebscohost.com.proxy-ub.rug.nl/login.aspx?direct=true&amp;db=psyh&amp;AN=2008-01004-003&amp;site=ehost-live&amp;scope=site" TargetMode="External"/><Relationship Id="rId404" Type="http://schemas.openxmlformats.org/officeDocument/2006/relationships/hyperlink" Target="http://search.ebscohost.com.proxy-ub.rug.nl/login.aspx?direct=true&amp;db=psyh&amp;AN=2006-20999-002&amp;site=ehost-live&amp;scope=site" TargetMode="External"/><Relationship Id="rId446" Type="http://schemas.openxmlformats.org/officeDocument/2006/relationships/hyperlink" Target="http://search.ebscohost.com.proxy-ub.rug.nl/login.aspx?direct=true&amp;db=psyh&amp;AN=1997-07279-004&amp;site=ehost-live&amp;scope=site" TargetMode="External"/><Relationship Id="rId250" Type="http://schemas.openxmlformats.org/officeDocument/2006/relationships/hyperlink" Target="http://search.ebscohost.com.proxy-ub.rug.nl/login.aspx?direct=true&amp;db=psyh&amp;AN=2009-05778-002&amp;site=ehost-live&amp;scope=site" TargetMode="External"/><Relationship Id="rId292" Type="http://schemas.openxmlformats.org/officeDocument/2006/relationships/hyperlink" Target="http://search.ebscohost.com.proxy-ub.rug.nl/login.aspx?direct=true&amp;db=psyh&amp;AN=2015-50012-005&amp;site=ehost-live&amp;scope=site" TargetMode="External"/><Relationship Id="rId306" Type="http://schemas.openxmlformats.org/officeDocument/2006/relationships/hyperlink" Target="http://search.ebscohost.com.proxy-ub.rug.nl/login.aspx?direct=true&amp;db=psyh&amp;AN=2014-44092-026&amp;site=ehost-live&amp;scope=site" TargetMode="External"/><Relationship Id="rId45" Type="http://schemas.openxmlformats.org/officeDocument/2006/relationships/hyperlink" Target="http://search.ebscohost.com.proxy-ub.rug.nl/login.aspx?direct=true&amp;db=psyh&amp;AN=2000-03877-003&amp;site=ehost-live&amp;scope=site" TargetMode="External"/><Relationship Id="rId87" Type="http://schemas.openxmlformats.org/officeDocument/2006/relationships/hyperlink" Target="http://search.ebscohost.com.proxy-ub.rug.nl/login.aspx?direct=true&amp;db=psyh&amp;AN=1995-05127-001&amp;site=ehost-live&amp;scope=site" TargetMode="External"/><Relationship Id="rId110" Type="http://schemas.openxmlformats.org/officeDocument/2006/relationships/hyperlink" Target="http://search.ebscohost.com.proxy-ub.rug.nl/login.aspx?direct=true&amp;db=psyh&amp;AN=2018-02518-003&amp;site=ehost-live&amp;scope=site" TargetMode="External"/><Relationship Id="rId348" Type="http://schemas.openxmlformats.org/officeDocument/2006/relationships/hyperlink" Target="http://search.ebscohost.com.proxy-ub.rug.nl/login.aspx?direct=true&amp;db=psyh&amp;AN=1993-29192-001&amp;site=ehost-live&amp;scope=site" TargetMode="External"/><Relationship Id="rId152" Type="http://schemas.openxmlformats.org/officeDocument/2006/relationships/hyperlink" Target="http://search.ebscohost.com.proxy-ub.rug.nl/login.aspx?direct=true&amp;db=psyh&amp;AN=2011-00678-006&amp;site=ehost-live&amp;scope=site" TargetMode="External"/><Relationship Id="rId194" Type="http://schemas.openxmlformats.org/officeDocument/2006/relationships/hyperlink" Target="http://search.ebscohost.com.proxy-ub.rug.nl/login.aspx?direct=true&amp;db=psyh&amp;AN=2002-02501-040&amp;site=ehost-live&amp;scope=site" TargetMode="External"/><Relationship Id="rId208" Type="http://schemas.openxmlformats.org/officeDocument/2006/relationships/hyperlink" Target="http://search.ebscohost.com.proxy-ub.rug.nl/login.aspx?direct=true&amp;db=psyh&amp;AN=2010-13602-001&amp;site=ehost-live&amp;scope=site" TargetMode="External"/><Relationship Id="rId415" Type="http://schemas.openxmlformats.org/officeDocument/2006/relationships/hyperlink" Target="http://search.ebscohost.com.proxy-ub.rug.nl/login.aspx?direct=true&amp;db=psyh&amp;AN=2009-11700-004&amp;site=ehost-live&amp;scope=site" TargetMode="External"/><Relationship Id="rId457" Type="http://schemas.openxmlformats.org/officeDocument/2006/relationships/hyperlink" Target="http://search.ebscohost.com.proxy-ub.rug.nl/login.aspx?direct=true&amp;db=psyh&amp;AN=2011-99040-336&amp;site=ehost-live&amp;scope=site" TargetMode="External"/><Relationship Id="rId261" Type="http://schemas.openxmlformats.org/officeDocument/2006/relationships/hyperlink" Target="http://search.ebscohost.com.proxy-ub.rug.nl/login.aspx?direct=true&amp;db=psyh&amp;AN=1997-04943-008&amp;site=ehost-live&amp;scope=site" TargetMode="External"/><Relationship Id="rId14" Type="http://schemas.openxmlformats.org/officeDocument/2006/relationships/hyperlink" Target="http://search.ebscohost.com.proxy-ub.rug.nl/login.aspx?direct=true&amp;db=psyh&amp;AN=2014-31334-001&amp;site=ehost-live&amp;scope=site" TargetMode="External"/><Relationship Id="rId56" Type="http://schemas.openxmlformats.org/officeDocument/2006/relationships/hyperlink" Target="http://search.ebscohost.com.proxy-ub.rug.nl/login.aspx?direct=true&amp;db=psyh&amp;AN=2015-09597-002&amp;site=ehost-live&amp;scope=site" TargetMode="External"/><Relationship Id="rId317" Type="http://schemas.openxmlformats.org/officeDocument/2006/relationships/hyperlink" Target="http://search.ebscohost.com.proxy-ub.rug.nl/login.aspx?direct=true&amp;db=psyh&amp;AN=2010-09321-004&amp;site=ehost-live&amp;scope=site" TargetMode="External"/><Relationship Id="rId359" Type="http://schemas.openxmlformats.org/officeDocument/2006/relationships/hyperlink" Target="http://search.ebscohost.com.proxy-ub.rug.nl/login.aspx?direct=true&amp;db=psyh&amp;AN=2006-99003-042&amp;site=ehost-live&amp;scope=site" TargetMode="External"/><Relationship Id="rId98" Type="http://schemas.openxmlformats.org/officeDocument/2006/relationships/hyperlink" Target="http://search.ebscohost.com.proxy-ub.rug.nl/login.aspx?direct=true&amp;db=psyh&amp;AN=2011-21458-001&amp;site=ehost-live&amp;scope=site" TargetMode="External"/><Relationship Id="rId121" Type="http://schemas.openxmlformats.org/officeDocument/2006/relationships/hyperlink" Target="http://search.ebscohost.com.proxy-ub.rug.nl/login.aspx?direct=true&amp;db=psyh&amp;AN=2009-99070-498&amp;site=ehost-live&amp;scope=site" TargetMode="External"/><Relationship Id="rId163" Type="http://schemas.openxmlformats.org/officeDocument/2006/relationships/hyperlink" Target="http://search.ebscohost.com.proxy-ub.rug.nl/login.aspx?direct=true&amp;db=psyh&amp;AN=2013-30893-002&amp;site=ehost-live&amp;scope=site" TargetMode="External"/><Relationship Id="rId219" Type="http://schemas.openxmlformats.org/officeDocument/2006/relationships/hyperlink" Target="http://search.ebscohost.com.proxy-ub.rug.nl/login.aspx?direct=true&amp;db=psyh&amp;AN=2006-20498-007&amp;site=ehost-live&amp;scope=site" TargetMode="External"/><Relationship Id="rId370" Type="http://schemas.openxmlformats.org/officeDocument/2006/relationships/hyperlink" Target="http://search.ebscohost.com.proxy-ub.rug.nl/login.aspx?direct=true&amp;db=psyh&amp;AN=2012-17949-003&amp;site=ehost-live&amp;scope=site" TargetMode="External"/><Relationship Id="rId426" Type="http://schemas.openxmlformats.org/officeDocument/2006/relationships/hyperlink" Target="http://search.ebscohost.com.proxy-ub.rug.nl/login.aspx?direct=true&amp;db=psyh&amp;AN=2011-11093-003&amp;site=ehost-live&amp;scope=site" TargetMode="External"/><Relationship Id="rId230" Type="http://schemas.openxmlformats.org/officeDocument/2006/relationships/hyperlink" Target="http://search.ebscohost.com.proxy-ub.rug.nl/login.aspx?direct=true&amp;db=psyh&amp;AN=2001-11523-003&amp;site=ehost-live&amp;scope=site" TargetMode="External"/><Relationship Id="rId468" Type="http://schemas.openxmlformats.org/officeDocument/2006/relationships/hyperlink" Target="http://search.ebscohost.com.proxy-ub.rug.nl/login.aspx?direct=true&amp;db=psyh&amp;AN=1981-10278-001&amp;site=ehost-live&amp;scope=site" TargetMode="External"/><Relationship Id="rId25" Type="http://schemas.openxmlformats.org/officeDocument/2006/relationships/hyperlink" Target="http://search.ebscohost.com.proxy-ub.rug.nl/login.aspx?direct=true&amp;db=psyh&amp;AN=2018-30616-238&amp;site=ehost-live&amp;scope=site" TargetMode="External"/><Relationship Id="rId67" Type="http://schemas.openxmlformats.org/officeDocument/2006/relationships/hyperlink" Target="http://search.ebscohost.com.proxy-ub.rug.nl/login.aspx?direct=true&amp;db=psyh&amp;AN=2013-30315-004&amp;site=ehost-live&amp;scope=site" TargetMode="External"/><Relationship Id="rId272" Type="http://schemas.openxmlformats.org/officeDocument/2006/relationships/hyperlink" Target="http://search.ebscohost.com.proxy-ub.rug.nl/login.aspx?direct=true&amp;db=psyh&amp;AN=2016-05812-001&amp;site=ehost-live&amp;scope=site" TargetMode="External"/><Relationship Id="rId328" Type="http://schemas.openxmlformats.org/officeDocument/2006/relationships/hyperlink" Target="http://search.ebscohost.com.proxy-ub.rug.nl/login.aspx?direct=true&amp;db=psyh&amp;AN=2014-22196-004&amp;site=ehost-live&amp;scope=site" TargetMode="External"/><Relationship Id="rId132" Type="http://schemas.openxmlformats.org/officeDocument/2006/relationships/hyperlink" Target="http://search.ebscohost.com.proxy-ub.rug.nl/login.aspx?direct=true&amp;db=psyh&amp;AN=2019-10358-001&amp;site=ehost-live&amp;scope=site" TargetMode="External"/><Relationship Id="rId174" Type="http://schemas.openxmlformats.org/officeDocument/2006/relationships/hyperlink" Target="http://search.ebscohost.com.proxy-ub.rug.nl/login.aspx?direct=true&amp;db=psyh&amp;AN=2010-15294-002&amp;site=ehost-live&amp;scope=site" TargetMode="External"/><Relationship Id="rId381" Type="http://schemas.openxmlformats.org/officeDocument/2006/relationships/hyperlink" Target="http://search.ebscohost.com.proxy-ub.rug.nl/login.aspx?direct=true&amp;db=psyh&amp;AN=2012-30855-020&amp;site=ehost-live&amp;scope=site" TargetMode="External"/><Relationship Id="rId241" Type="http://schemas.openxmlformats.org/officeDocument/2006/relationships/hyperlink" Target="http://search.ebscohost.com.proxy-ub.rug.nl/login.aspx?direct=true&amp;db=psyh&amp;AN=2016-50352-006&amp;site=ehost-live&amp;scope=site" TargetMode="External"/><Relationship Id="rId437" Type="http://schemas.openxmlformats.org/officeDocument/2006/relationships/hyperlink" Target="http://search.ebscohost.com.proxy-ub.rug.nl/login.aspx?direct=true&amp;db=psyh&amp;AN=2006-20074-001&amp;site=ehost-live&amp;scope=site" TargetMode="External"/><Relationship Id="rId479" Type="http://schemas.openxmlformats.org/officeDocument/2006/relationships/queryTable" Target="../queryTables/queryTable1.xml"/><Relationship Id="rId36" Type="http://schemas.openxmlformats.org/officeDocument/2006/relationships/hyperlink" Target="http://search.ebscohost.com.proxy-ub.rug.nl/login.aspx?direct=true&amp;db=psyh&amp;AN=2002-02688-002&amp;site=ehost-live&amp;scope=site" TargetMode="External"/><Relationship Id="rId283" Type="http://schemas.openxmlformats.org/officeDocument/2006/relationships/hyperlink" Target="http://search.ebscohost.com.proxy-ub.rug.nl/login.aspx?direct=true&amp;db=psyh&amp;AN=2002-18425-005&amp;site=ehost-live&amp;scope=site" TargetMode="External"/><Relationship Id="rId339" Type="http://schemas.openxmlformats.org/officeDocument/2006/relationships/hyperlink" Target="http://search.ebscohost.com.proxy-ub.rug.nl/login.aspx?direct=true&amp;db=psyh&amp;AN=2012-29480-018&amp;site=ehost-live&amp;scope=site" TargetMode="External"/><Relationship Id="rId78" Type="http://schemas.openxmlformats.org/officeDocument/2006/relationships/hyperlink" Target="http://search.ebscohost.com.proxy-ub.rug.nl/login.aspx?direct=true&amp;db=psyh&amp;AN=2017-43925-014&amp;site=ehost-live&amp;scope=site" TargetMode="External"/><Relationship Id="rId101" Type="http://schemas.openxmlformats.org/officeDocument/2006/relationships/hyperlink" Target="http://search.ebscohost.com.proxy-ub.rug.nl/login.aspx?direct=true&amp;db=psyh&amp;AN=2014-16122-002&amp;site=ehost-live&amp;scope=site" TargetMode="External"/><Relationship Id="rId143" Type="http://schemas.openxmlformats.org/officeDocument/2006/relationships/hyperlink" Target="http://search.ebscohost.com.proxy-ub.rug.nl/login.aspx?direct=true&amp;db=psyh&amp;AN=2015-44226-013&amp;site=ehost-live&amp;scope=site" TargetMode="External"/><Relationship Id="rId185" Type="http://schemas.openxmlformats.org/officeDocument/2006/relationships/hyperlink" Target="http://search.ebscohost.com.proxy-ub.rug.nl/login.aspx?direct=true&amp;db=psyh&amp;AN=2018-23569-001&amp;site=ehost-live&amp;scope=site" TargetMode="External"/><Relationship Id="rId350" Type="http://schemas.openxmlformats.org/officeDocument/2006/relationships/hyperlink" Target="http://search.ebscohost.com.proxy-ub.rug.nl/login.aspx?direct=true&amp;db=psyh&amp;AN=2014-99020-152&amp;site=ehost-live&amp;scope=site" TargetMode="External"/><Relationship Id="rId406" Type="http://schemas.openxmlformats.org/officeDocument/2006/relationships/hyperlink" Target="http://search.ebscohost.com.proxy-ub.rug.nl/login.aspx?direct=true&amp;db=psyh&amp;AN=2009-17701-018&amp;site=ehost-live&amp;scope=site" TargetMode="External"/><Relationship Id="rId9" Type="http://schemas.openxmlformats.org/officeDocument/2006/relationships/hyperlink" Target="http://search.ebscohost.com.proxy-ub.rug.nl/login.aspx?direct=true&amp;db=psyh&amp;AN=2019-34218-007&amp;site=ehost-live&amp;scope=site" TargetMode="External"/><Relationship Id="rId210" Type="http://schemas.openxmlformats.org/officeDocument/2006/relationships/hyperlink" Target="http://search.ebscohost.com.proxy-ub.rug.nl/login.aspx?direct=true&amp;db=psyh&amp;AN=2018-00718-117&amp;site=ehost-live&amp;scope=site" TargetMode="External"/><Relationship Id="rId392" Type="http://schemas.openxmlformats.org/officeDocument/2006/relationships/hyperlink" Target="http://search.ebscohost.com.proxy-ub.rug.nl/login.aspx?direct=true&amp;db=psyh&amp;AN=2006-13483-005&amp;site=ehost-live&amp;scope=site" TargetMode="External"/><Relationship Id="rId448" Type="http://schemas.openxmlformats.org/officeDocument/2006/relationships/hyperlink" Target="http://search.ebscohost.com.proxy-ub.rug.nl/login.aspx?direct=true&amp;db=psyh&amp;AN=2006-04454-005&amp;site=ehost-live&amp;scope=site" TargetMode="External"/><Relationship Id="rId252" Type="http://schemas.openxmlformats.org/officeDocument/2006/relationships/hyperlink" Target="http://search.ebscohost.com.proxy-ub.rug.nl/login.aspx?direct=true&amp;db=psyh&amp;AN=1994-44582-001&amp;site=ehost-live&amp;scope=site" TargetMode="External"/><Relationship Id="rId294" Type="http://schemas.openxmlformats.org/officeDocument/2006/relationships/hyperlink" Target="http://search.ebscohost.com.proxy-ub.rug.nl/login.aspx?direct=true&amp;db=psyh&amp;AN=2000-07199-040&amp;site=ehost-live&amp;scope=site" TargetMode="External"/><Relationship Id="rId308" Type="http://schemas.openxmlformats.org/officeDocument/2006/relationships/hyperlink" Target="http://search.ebscohost.com.proxy-ub.rug.nl/login.aspx?direct=true&amp;db=psyh&amp;AN=2000-15186-005&amp;site=ehost-live&amp;scope=site" TargetMode="External"/><Relationship Id="rId47" Type="http://schemas.openxmlformats.org/officeDocument/2006/relationships/hyperlink" Target="http://search.ebscohost.com.proxy-ub.rug.nl/login.aspx?direct=true&amp;db=psyh&amp;AN=2018-23616-001&amp;site=ehost-live&amp;scope=site" TargetMode="External"/><Relationship Id="rId89" Type="http://schemas.openxmlformats.org/officeDocument/2006/relationships/hyperlink" Target="http://search.ebscohost.com.proxy-ub.rug.nl/login.aspx?direct=true&amp;db=psyh&amp;AN=2016-37030-007&amp;site=ehost-live&amp;scope=site" TargetMode="External"/><Relationship Id="rId112" Type="http://schemas.openxmlformats.org/officeDocument/2006/relationships/hyperlink" Target="http://search.ebscohost.com.proxy-ub.rug.nl/login.aspx?direct=true&amp;db=psyh&amp;AN=1991-30800-001&amp;site=ehost-live&amp;scope=site" TargetMode="External"/><Relationship Id="rId154" Type="http://schemas.openxmlformats.org/officeDocument/2006/relationships/hyperlink" Target="http://search.ebscohost.com.proxy-ub.rug.nl/login.aspx?direct=true&amp;db=psyh&amp;AN=2013-99120-509&amp;site=ehost-live&amp;scope=site" TargetMode="External"/><Relationship Id="rId361" Type="http://schemas.openxmlformats.org/officeDocument/2006/relationships/hyperlink" Target="http://search.ebscohost.com.proxy-ub.rug.nl/login.aspx?direct=true&amp;db=psyh&amp;AN=2011-03115-007&amp;site=ehost-live&amp;scope=site" TargetMode="External"/><Relationship Id="rId196" Type="http://schemas.openxmlformats.org/officeDocument/2006/relationships/hyperlink" Target="http://search.ebscohost.com.proxy-ub.rug.nl/login.aspx?direct=true&amp;db=psyh&amp;AN=2011-06426-006&amp;site=ehost-live&amp;scope=site" TargetMode="External"/><Relationship Id="rId417" Type="http://schemas.openxmlformats.org/officeDocument/2006/relationships/hyperlink" Target="http://search.ebscohost.com.proxy-ub.rug.nl/login.aspx?direct=true&amp;db=psyh&amp;AN=2002-02248-002&amp;site=ehost-live&amp;scope=site" TargetMode="External"/><Relationship Id="rId459" Type="http://schemas.openxmlformats.org/officeDocument/2006/relationships/hyperlink" Target="http://search.ebscohost.com.proxy-ub.rug.nl/login.aspx?direct=true&amp;db=psyh&amp;AN=2010-99210-544&amp;site=ehost-live&amp;scope=site" TargetMode="External"/><Relationship Id="rId16" Type="http://schemas.openxmlformats.org/officeDocument/2006/relationships/hyperlink" Target="http://search.ebscohost.com.proxy-ub.rug.nl/login.aspx?direct=true&amp;db=psyh&amp;AN=2019-34218-004&amp;site=ehost-live&amp;scope=site" TargetMode="External"/><Relationship Id="rId221" Type="http://schemas.openxmlformats.org/officeDocument/2006/relationships/hyperlink" Target="http://search.ebscohost.com.proxy-ub.rug.nl/login.aspx?direct=true&amp;db=psyh&amp;AN=2004-12679-004&amp;site=ehost-live&amp;scope=site" TargetMode="External"/><Relationship Id="rId263" Type="http://schemas.openxmlformats.org/officeDocument/2006/relationships/hyperlink" Target="http://search.ebscohost.com.proxy-ub.rug.nl/login.aspx?direct=true&amp;db=psyh&amp;AN=2001-16304-007&amp;site=ehost-live&amp;scope=site" TargetMode="External"/><Relationship Id="rId319" Type="http://schemas.openxmlformats.org/officeDocument/2006/relationships/hyperlink" Target="http://search.ebscohost.com.proxy-ub.rug.nl/login.aspx?direct=true&amp;db=psyh&amp;AN=2016-53069-172&amp;site=ehost-live&amp;scope=site" TargetMode="External"/><Relationship Id="rId470" Type="http://schemas.openxmlformats.org/officeDocument/2006/relationships/hyperlink" Target="http://search.ebscohost.com.proxy-ub.rug.nl/login.aspx?direct=true&amp;db=psyh&amp;AN=1990-19775-001&amp;site=ehost-live&amp;scope=site" TargetMode="External"/><Relationship Id="rId58" Type="http://schemas.openxmlformats.org/officeDocument/2006/relationships/hyperlink" Target="http://search.ebscohost.com.proxy-ub.rug.nl/login.aspx?direct=true&amp;db=psyh&amp;AN=2016-58394-211&amp;site=ehost-live&amp;scope=site" TargetMode="External"/><Relationship Id="rId123" Type="http://schemas.openxmlformats.org/officeDocument/2006/relationships/hyperlink" Target="http://search.ebscohost.com.proxy-ub.rug.nl/login.aspx?direct=true&amp;db=psyh&amp;AN=2011-29005-001&amp;site=ehost-live&amp;scope=site" TargetMode="External"/><Relationship Id="rId330" Type="http://schemas.openxmlformats.org/officeDocument/2006/relationships/hyperlink" Target="http://search.ebscohost.com.proxy-ub.rug.nl/login.aspx?direct=true&amp;db=psyh&amp;AN=2000-95020-238&amp;site=ehost-live&amp;scope=site" TargetMode="External"/><Relationship Id="rId165" Type="http://schemas.openxmlformats.org/officeDocument/2006/relationships/hyperlink" Target="http://search.ebscohost.com.proxy-ub.rug.nl/login.aspx?direct=true&amp;db=psyh&amp;AN=2012-00673-008&amp;site=ehost-live&amp;scope=site" TargetMode="External"/><Relationship Id="rId372" Type="http://schemas.openxmlformats.org/officeDocument/2006/relationships/hyperlink" Target="http://search.ebscohost.com.proxy-ub.rug.nl/login.aspx?direct=true&amp;db=psyh&amp;AN=2008-12609-010&amp;site=ehost-live&amp;scope=site" TargetMode="External"/><Relationship Id="rId428" Type="http://schemas.openxmlformats.org/officeDocument/2006/relationships/hyperlink" Target="http://search.ebscohost.com.proxy-ub.rug.nl/login.aspx?direct=true&amp;db=psyh&amp;AN=2012-01612-001&amp;site=ehost-live&amp;scope=site" TargetMode="External"/><Relationship Id="rId232" Type="http://schemas.openxmlformats.org/officeDocument/2006/relationships/hyperlink" Target="http://search.ebscohost.com.proxy-ub.rug.nl/login.aspx?direct=true&amp;db=psyh&amp;AN=2001-16118-005&amp;site=ehost-live&amp;scope=site" TargetMode="External"/><Relationship Id="rId274" Type="http://schemas.openxmlformats.org/officeDocument/2006/relationships/hyperlink" Target="http://search.ebscohost.com.proxy-ub.rug.nl/login.aspx?direct=true&amp;db=psyh&amp;AN=2016-17129-107&amp;site=ehost-live&amp;scope=site" TargetMode="External"/><Relationship Id="rId27" Type="http://schemas.openxmlformats.org/officeDocument/2006/relationships/hyperlink" Target="http://search.ebscohost.com.proxy-ub.rug.nl/login.aspx?direct=true&amp;db=psyh&amp;AN=2017-56096-009&amp;site=ehost-live&amp;scope=site" TargetMode="External"/><Relationship Id="rId69" Type="http://schemas.openxmlformats.org/officeDocument/2006/relationships/hyperlink" Target="http://search.ebscohost.com.proxy-ub.rug.nl/login.aspx?direct=true&amp;db=psyh&amp;AN=2015-34434-010&amp;site=ehost-live&amp;scope=site" TargetMode="External"/><Relationship Id="rId134" Type="http://schemas.openxmlformats.org/officeDocument/2006/relationships/hyperlink" Target="http://search.ebscohost.com.proxy-ub.rug.nl/login.aspx?direct=true&amp;db=psyh&amp;AN=2017-53660-013&amp;site=ehost-live&amp;scope=site" TargetMode="External"/><Relationship Id="rId80" Type="http://schemas.openxmlformats.org/officeDocument/2006/relationships/hyperlink" Target="http://search.ebscohost.com.proxy-ub.rug.nl/login.aspx?direct=true&amp;db=psyh&amp;AN=2012-11105-006&amp;site=ehost-live&amp;scope=site" TargetMode="External"/><Relationship Id="rId176" Type="http://schemas.openxmlformats.org/officeDocument/2006/relationships/hyperlink" Target="http://search.ebscohost.com.proxy-ub.rug.nl/login.aspx?direct=true&amp;db=psyh&amp;AN=2008-18892-006&amp;site=ehost-live&amp;scope=site" TargetMode="External"/><Relationship Id="rId341" Type="http://schemas.openxmlformats.org/officeDocument/2006/relationships/hyperlink" Target="http://search.ebscohost.com.proxy-ub.rug.nl/login.aspx?direct=true&amp;db=psyh&amp;AN=2001-95023-040&amp;site=ehost-live&amp;scope=site" TargetMode="External"/><Relationship Id="rId383" Type="http://schemas.openxmlformats.org/officeDocument/2006/relationships/hyperlink" Target="http://search.ebscohost.com.proxy-ub.rug.nl/login.aspx?direct=true&amp;db=psyh&amp;AN=2014-99161-102&amp;site=ehost-live&amp;scope=site" TargetMode="External"/><Relationship Id="rId439" Type="http://schemas.openxmlformats.org/officeDocument/2006/relationships/hyperlink" Target="http://search.ebscohost.com.proxy-ub.rug.nl/login.aspx?direct=true&amp;db=psyh&amp;AN=2004-00096-007&amp;site=ehost-live&amp;scope=site" TargetMode="External"/><Relationship Id="rId201" Type="http://schemas.openxmlformats.org/officeDocument/2006/relationships/hyperlink" Target="http://search.ebscohost.com.proxy-ub.rug.nl/login.aspx?direct=true&amp;db=psyh&amp;AN=2010-10508-004&amp;site=ehost-live&amp;scope=site" TargetMode="External"/><Relationship Id="rId243" Type="http://schemas.openxmlformats.org/officeDocument/2006/relationships/hyperlink" Target="http://search.ebscohost.com.proxy-ub.rug.nl/login.aspx?direct=true&amp;db=psyh&amp;AN=2008-03979-007&amp;site=ehost-live&amp;scope=site" TargetMode="External"/><Relationship Id="rId285" Type="http://schemas.openxmlformats.org/officeDocument/2006/relationships/hyperlink" Target="http://search.ebscohost.com.proxy-ub.rug.nl/login.aspx?direct=true&amp;db=psyh&amp;AN=1998-12022-003&amp;site=ehost-live&amp;scope=site" TargetMode="External"/><Relationship Id="rId450" Type="http://schemas.openxmlformats.org/officeDocument/2006/relationships/hyperlink" Target="http://search.ebscohost.com.proxy-ub.rug.nl/login.aspx?direct=true&amp;db=psyh&amp;AN=2011-99050-008&amp;site=ehost-live&amp;scope=site" TargetMode="External"/><Relationship Id="rId38" Type="http://schemas.openxmlformats.org/officeDocument/2006/relationships/hyperlink" Target="http://search.ebscohost.com.proxy-ub.rug.nl/login.aspx?direct=true&amp;db=psyh&amp;AN=2018-36422-001&amp;site=ehost-live&amp;scope=site" TargetMode="External"/><Relationship Id="rId103" Type="http://schemas.openxmlformats.org/officeDocument/2006/relationships/hyperlink" Target="http://search.ebscohost.com.proxy-ub.rug.nl/login.aspx?direct=true&amp;db=psyh&amp;AN=2015-09394-001&amp;site=ehost-live&amp;scope=site" TargetMode="External"/><Relationship Id="rId310" Type="http://schemas.openxmlformats.org/officeDocument/2006/relationships/hyperlink" Target="http://search.ebscohost.com.proxy-ub.rug.nl/login.aspx?direct=true&amp;db=psyh&amp;AN=2015-43618-010&amp;site=ehost-live&amp;scope=site" TargetMode="External"/><Relationship Id="rId91" Type="http://schemas.openxmlformats.org/officeDocument/2006/relationships/hyperlink" Target="http://search.ebscohost.com.proxy-ub.rug.nl/login.aspx?direct=true&amp;db=psyh&amp;AN=2011-09495-020&amp;site=ehost-live&amp;scope=site" TargetMode="External"/><Relationship Id="rId145" Type="http://schemas.openxmlformats.org/officeDocument/2006/relationships/hyperlink" Target="http://search.ebscohost.com.proxy-ub.rug.nl/login.aspx?direct=true&amp;db=psyh&amp;AN=2017-53660-007&amp;site=ehost-live&amp;scope=site" TargetMode="External"/><Relationship Id="rId187" Type="http://schemas.openxmlformats.org/officeDocument/2006/relationships/hyperlink" Target="http://search.ebscohost.com.proxy-ub.rug.nl/login.aspx?direct=true&amp;db=psyh&amp;AN=2010-11824-010&amp;site=ehost-live&amp;scope=site" TargetMode="External"/><Relationship Id="rId352" Type="http://schemas.openxmlformats.org/officeDocument/2006/relationships/hyperlink" Target="http://search.ebscohost.com.proxy-ub.rug.nl/login.aspx?direct=true&amp;db=psyh&amp;AN=2010-10677-012&amp;site=ehost-live&amp;scope=site" TargetMode="External"/><Relationship Id="rId394" Type="http://schemas.openxmlformats.org/officeDocument/2006/relationships/hyperlink" Target="http://search.ebscohost.com.proxy-ub.rug.nl/login.aspx?direct=true&amp;db=psyh&amp;AN=2012-32290-008&amp;site=ehost-live&amp;scope=site" TargetMode="External"/><Relationship Id="rId408" Type="http://schemas.openxmlformats.org/officeDocument/2006/relationships/hyperlink" Target="http://search.ebscohost.com.proxy-ub.rug.nl/login.aspx?direct=true&amp;db=psyh&amp;AN=2011-00456-002&amp;site=ehost-live&amp;scope=site" TargetMode="External"/><Relationship Id="rId212" Type="http://schemas.openxmlformats.org/officeDocument/2006/relationships/hyperlink" Target="http://search.ebscohost.com.proxy-ub.rug.nl/login.aspx?direct=true&amp;db=psyh&amp;AN=2007-07748-006&amp;site=ehost-live&amp;scope=site" TargetMode="External"/><Relationship Id="rId254" Type="http://schemas.openxmlformats.org/officeDocument/2006/relationships/hyperlink" Target="http://search.ebscohost.com.proxy-ub.rug.nl/login.aspx?direct=true&amp;db=psyh&amp;AN=2006-08702-003&amp;site=ehost-live&amp;scope=site" TargetMode="External"/><Relationship Id="rId49" Type="http://schemas.openxmlformats.org/officeDocument/2006/relationships/hyperlink" Target="http://search.ebscohost.com.proxy-ub.rug.nl/login.aspx?direct=true&amp;db=psyh&amp;AN=2000-15658-002&amp;site=ehost-live&amp;scope=site" TargetMode="External"/><Relationship Id="rId114" Type="http://schemas.openxmlformats.org/officeDocument/2006/relationships/hyperlink" Target="http://search.ebscohost.com.proxy-ub.rug.nl/login.aspx?direct=true&amp;db=psyh&amp;AN=2012-28695-002&amp;site=ehost-live&amp;scope=site" TargetMode="External"/><Relationship Id="rId296" Type="http://schemas.openxmlformats.org/officeDocument/2006/relationships/hyperlink" Target="http://search.ebscohost.com.proxy-ub.rug.nl/login.aspx?direct=true&amp;db=psyh&amp;AN=2013-09113-005&amp;site=ehost-live&amp;scope=site" TargetMode="External"/><Relationship Id="rId461" Type="http://schemas.openxmlformats.org/officeDocument/2006/relationships/hyperlink" Target="http://search.ebscohost.com.proxy-ub.rug.nl/login.aspx?direct=true&amp;db=psyh&amp;AN=1995-95021-492&amp;site=ehost-live&amp;scope=site" TargetMode="External"/><Relationship Id="rId60" Type="http://schemas.openxmlformats.org/officeDocument/2006/relationships/hyperlink" Target="http://search.ebscohost.com.proxy-ub.rug.nl/login.aspx?direct=true&amp;db=psyh&amp;AN=1994-01876-001&amp;site=ehost-live&amp;scope=site" TargetMode="External"/><Relationship Id="rId156" Type="http://schemas.openxmlformats.org/officeDocument/2006/relationships/hyperlink" Target="http://search.ebscohost.com.proxy-ub.rug.nl/login.aspx?direct=true&amp;db=psyh&amp;AN=2011-09553-005&amp;site=ehost-live&amp;scope=site" TargetMode="External"/><Relationship Id="rId198" Type="http://schemas.openxmlformats.org/officeDocument/2006/relationships/hyperlink" Target="http://search.ebscohost.com.proxy-ub.rug.nl/login.aspx?direct=true&amp;db=psyh&amp;AN=2011-08522-007&amp;site=ehost-live&amp;scope=site" TargetMode="External"/><Relationship Id="rId321" Type="http://schemas.openxmlformats.org/officeDocument/2006/relationships/hyperlink" Target="http://search.ebscohost.com.proxy-ub.rug.nl/login.aspx?direct=true&amp;db=psyh&amp;AN=1998-04412-007&amp;site=ehost-live&amp;scope=site" TargetMode="External"/><Relationship Id="rId363" Type="http://schemas.openxmlformats.org/officeDocument/2006/relationships/hyperlink" Target="http://search.ebscohost.com.proxy-ub.rug.nl/login.aspx?direct=true&amp;db=psyh&amp;AN=2013-03471-012&amp;site=ehost-live&amp;scope=site" TargetMode="External"/><Relationship Id="rId419" Type="http://schemas.openxmlformats.org/officeDocument/2006/relationships/hyperlink" Target="http://search.ebscohost.com.proxy-ub.rug.nl/login.aspx?direct=true&amp;db=psyh&amp;AN=2015-13114-019&amp;site=ehost-live&amp;scope=site" TargetMode="External"/><Relationship Id="rId223" Type="http://schemas.openxmlformats.org/officeDocument/2006/relationships/hyperlink" Target="http://search.ebscohost.com.proxy-ub.rug.nl/login.aspx?direct=true&amp;db=psyh&amp;AN=2003-01026-003&amp;site=ehost-live&amp;scope=site" TargetMode="External"/><Relationship Id="rId430" Type="http://schemas.openxmlformats.org/officeDocument/2006/relationships/hyperlink" Target="http://search.ebscohost.com.proxy-ub.rug.nl/login.aspx?direct=true&amp;db=psyh&amp;AN=2003-10955-007&amp;site=ehost-live&amp;scope=site" TargetMode="External"/><Relationship Id="rId18" Type="http://schemas.openxmlformats.org/officeDocument/2006/relationships/hyperlink" Target="http://search.ebscohost.com.proxy-ub.rug.nl/login.aspx?direct=true&amp;db=psyh&amp;AN=2018-52506-104&amp;site=ehost-live&amp;scope=site" TargetMode="External"/><Relationship Id="rId265" Type="http://schemas.openxmlformats.org/officeDocument/2006/relationships/hyperlink" Target="http://search.ebscohost.com.proxy-ub.rug.nl/login.aspx?direct=true&amp;db=psyh&amp;AN=2003-02007-005&amp;site=ehost-live&amp;scope=site" TargetMode="External"/><Relationship Id="rId472" Type="http://schemas.openxmlformats.org/officeDocument/2006/relationships/hyperlink" Target="http://search.ebscohost.com.proxy-ub.rug.nl/login.aspx?direct=true&amp;db=psyh&amp;AN=1987-24810-001&amp;site=ehost-live&amp;scope=site" TargetMode="External"/><Relationship Id="rId125" Type="http://schemas.openxmlformats.org/officeDocument/2006/relationships/hyperlink" Target="http://search.ebscohost.com.proxy-ub.rug.nl/login.aspx?direct=true&amp;db=psyh&amp;AN=2009-13130-005&amp;site=ehost-live&amp;scope=site" TargetMode="External"/><Relationship Id="rId167" Type="http://schemas.openxmlformats.org/officeDocument/2006/relationships/hyperlink" Target="http://search.ebscohost.com.proxy-ub.rug.nl/login.aspx?direct=true&amp;db=psyh&amp;AN=2014-08397-001&amp;site=ehost-live&amp;scope=site" TargetMode="External"/><Relationship Id="rId332" Type="http://schemas.openxmlformats.org/officeDocument/2006/relationships/hyperlink" Target="http://search.ebscohost.com.proxy-ub.rug.nl/login.aspx?direct=true&amp;db=psyh&amp;AN=2010-23661-000&amp;site=ehost-live&amp;scope=site" TargetMode="External"/><Relationship Id="rId374" Type="http://schemas.openxmlformats.org/officeDocument/2006/relationships/hyperlink" Target="http://search.ebscohost.com.proxy-ub.rug.nl/login.aspx?direct=true&amp;db=psyh&amp;AN=1984-09311-001&amp;site=ehost-live&amp;scope=site" TargetMode="External"/><Relationship Id="rId71" Type="http://schemas.openxmlformats.org/officeDocument/2006/relationships/hyperlink" Target="http://search.ebscohost.com.proxy-ub.rug.nl/login.aspx?direct=true&amp;db=psyh&amp;AN=2001-95018-326&amp;site=ehost-live&amp;scope=site" TargetMode="External"/><Relationship Id="rId234" Type="http://schemas.openxmlformats.org/officeDocument/2006/relationships/hyperlink" Target="http://search.ebscohost.com.proxy-ub.rug.nl/login.aspx?direct=true&amp;db=psyh&amp;AN=2005-16775-001&amp;site=ehost-live&amp;scope=site" TargetMode="External"/><Relationship Id="rId2" Type="http://schemas.openxmlformats.org/officeDocument/2006/relationships/hyperlink" Target="http://search.ebscohost.com.proxy-ub.rug.nl/login.aspx?direct=true&amp;db=psyh&amp;AN=2020-06093-001&amp;site=ehost-live&amp;scope=site" TargetMode="External"/><Relationship Id="rId29" Type="http://schemas.openxmlformats.org/officeDocument/2006/relationships/hyperlink" Target="http://search.ebscohost.com.proxy-ub.rug.nl/login.aspx?direct=true&amp;db=psyh&amp;AN=2020-03007-001&amp;site=ehost-live&amp;scope=site" TargetMode="External"/><Relationship Id="rId276" Type="http://schemas.openxmlformats.org/officeDocument/2006/relationships/hyperlink" Target="http://search.ebscohost.com.proxy-ub.rug.nl/login.aspx?direct=true&amp;db=psyh&amp;AN=2017-49200-012&amp;site=ehost-live&amp;scope=site" TargetMode="External"/><Relationship Id="rId441" Type="http://schemas.openxmlformats.org/officeDocument/2006/relationships/hyperlink" Target="http://search.ebscohost.com.proxy-ub.rug.nl/login.aspx?direct=true&amp;db=psyh&amp;AN=2011-18140-002&amp;site=ehost-live&amp;scope=site" TargetMode="External"/><Relationship Id="rId40" Type="http://schemas.openxmlformats.org/officeDocument/2006/relationships/hyperlink" Target="http://search.ebscohost.com.proxy-ub.rug.nl/login.aspx?direct=true&amp;db=psyh&amp;AN=2017-27609-001&amp;site=ehost-live&amp;scope=site" TargetMode="External"/><Relationship Id="rId136" Type="http://schemas.openxmlformats.org/officeDocument/2006/relationships/hyperlink" Target="http://search.ebscohost.com.proxy-ub.rug.nl/login.aspx?direct=true&amp;db=psyh&amp;AN=2012-08090-004&amp;site=ehost-live&amp;scope=site" TargetMode="External"/><Relationship Id="rId178" Type="http://schemas.openxmlformats.org/officeDocument/2006/relationships/hyperlink" Target="http://search.ebscohost.com.proxy-ub.rug.nl/login.aspx?direct=true&amp;db=psyh&amp;AN=2016-38255-014&amp;site=ehost-live&amp;scope=site" TargetMode="External"/><Relationship Id="rId301" Type="http://schemas.openxmlformats.org/officeDocument/2006/relationships/hyperlink" Target="http://search.ebscohost.com.proxy-ub.rug.nl/login.aspx?direct=true&amp;db=psyh&amp;AN=2009-99160-303&amp;site=ehost-live&amp;scope=site" TargetMode="External"/><Relationship Id="rId343" Type="http://schemas.openxmlformats.org/officeDocument/2006/relationships/hyperlink" Target="http://search.ebscohost.com.proxy-ub.rug.nl/login.aspx?direct=true&amp;db=psyh&amp;AN=2010-00679-007&amp;site=ehost-live&amp;scope=site" TargetMode="External"/><Relationship Id="rId82" Type="http://schemas.openxmlformats.org/officeDocument/2006/relationships/hyperlink" Target="http://search.ebscohost.com.proxy-ub.rug.nl/login.aspx?direct=true&amp;db=psyh&amp;AN=2018-08877-008&amp;site=ehost-live&amp;scope=site" TargetMode="External"/><Relationship Id="rId203" Type="http://schemas.openxmlformats.org/officeDocument/2006/relationships/hyperlink" Target="http://search.ebscohost.com.proxy-ub.rug.nl/login.aspx?direct=true&amp;db=psyh&amp;AN=2012-99050-470&amp;site=ehost-live&amp;scope=site" TargetMode="External"/><Relationship Id="rId385" Type="http://schemas.openxmlformats.org/officeDocument/2006/relationships/hyperlink" Target="http://search.ebscohost.com.proxy-ub.rug.nl/login.aspx?direct=true&amp;db=psyh&amp;AN=2014-99130-581&amp;site=ehost-live&amp;scope=site" TargetMode="External"/><Relationship Id="rId245" Type="http://schemas.openxmlformats.org/officeDocument/2006/relationships/hyperlink" Target="http://search.ebscohost.com.proxy-ub.rug.nl/login.aspx?direct=true&amp;db=psyh&amp;AN=1996-00428-017&amp;site=ehost-live&amp;scope=site" TargetMode="External"/><Relationship Id="rId287" Type="http://schemas.openxmlformats.org/officeDocument/2006/relationships/hyperlink" Target="http://search.ebscohost.com.proxy-ub.rug.nl/login.aspx?direct=true&amp;db=psyh&amp;AN=2007-01250-003&amp;site=ehost-live&amp;scope=site" TargetMode="External"/><Relationship Id="rId410" Type="http://schemas.openxmlformats.org/officeDocument/2006/relationships/hyperlink" Target="http://search.ebscohost.com.proxy-ub.rug.nl/login.aspx?direct=true&amp;db=psyh&amp;AN=2009-99180-164&amp;site=ehost-live&amp;scope=site" TargetMode="External"/><Relationship Id="rId452" Type="http://schemas.openxmlformats.org/officeDocument/2006/relationships/hyperlink" Target="http://search.ebscohost.com.proxy-ub.rug.nl/login.aspx?direct=true&amp;db=psyh&amp;AN=2005-16196-003&amp;site=ehost-live&amp;scope=site" TargetMode="External"/><Relationship Id="rId105" Type="http://schemas.openxmlformats.org/officeDocument/2006/relationships/hyperlink" Target="http://search.ebscohost.com.proxy-ub.rug.nl/login.aspx?direct=true&amp;db=psyh&amp;AN=2014-99141-162&amp;site=ehost-live&amp;scope=site" TargetMode="External"/><Relationship Id="rId147" Type="http://schemas.openxmlformats.org/officeDocument/2006/relationships/hyperlink" Target="http://search.ebscohost.com.proxy-ub.rug.nl/login.aspx?direct=true&amp;db=psyh&amp;AN=2011-26747-004&amp;site=ehost-live&amp;scope=site" TargetMode="External"/><Relationship Id="rId312" Type="http://schemas.openxmlformats.org/officeDocument/2006/relationships/hyperlink" Target="http://search.ebscohost.com.proxy-ub.rug.nl/login.aspx?direct=true&amp;db=psyh&amp;AN=2008-99220-361&amp;site=ehost-live&amp;scope=site" TargetMode="External"/><Relationship Id="rId354" Type="http://schemas.openxmlformats.org/officeDocument/2006/relationships/hyperlink" Target="http://search.ebscohost.com.proxy-ub.rug.nl/login.aspx?direct=true&amp;db=psyh&amp;AN=2014-12992-005&amp;site=ehost-live&amp;scope=site" TargetMode="External"/><Relationship Id="rId51" Type="http://schemas.openxmlformats.org/officeDocument/2006/relationships/hyperlink" Target="http://search.ebscohost.com.proxy-ub.rug.nl/login.aspx?direct=true&amp;db=psyh&amp;AN=2016-29748-008&amp;site=ehost-live&amp;scope=site" TargetMode="External"/><Relationship Id="rId72" Type="http://schemas.openxmlformats.org/officeDocument/2006/relationships/hyperlink" Target="http://search.ebscohost.com.proxy-ub.rug.nl/login.aspx?direct=true&amp;db=psyh&amp;AN=2014-29413-008&amp;site=ehost-live&amp;scope=site" TargetMode="External"/><Relationship Id="rId93" Type="http://schemas.openxmlformats.org/officeDocument/2006/relationships/hyperlink" Target="http://search.ebscohost.com.proxy-ub.rug.nl/login.aspx?direct=true&amp;db=psyh&amp;AN=1999-10863-012&amp;site=ehost-live&amp;scope=site" TargetMode="External"/><Relationship Id="rId189" Type="http://schemas.openxmlformats.org/officeDocument/2006/relationships/hyperlink" Target="http://search.ebscohost.com.proxy-ub.rug.nl/login.aspx?direct=true&amp;db=psyh&amp;AN=2009-11056-003&amp;site=ehost-live&amp;scope=site" TargetMode="External"/><Relationship Id="rId375" Type="http://schemas.openxmlformats.org/officeDocument/2006/relationships/hyperlink" Target="http://search.ebscohost.com.proxy-ub.rug.nl/login.aspx?direct=true&amp;db=psyh&amp;AN=2012-31521-001&amp;site=ehost-live&amp;scope=site" TargetMode="External"/><Relationship Id="rId396" Type="http://schemas.openxmlformats.org/officeDocument/2006/relationships/hyperlink" Target="http://search.ebscohost.com.proxy-ub.rug.nl/login.aspx?direct=true&amp;db=psyh&amp;AN=2008-12609-007&amp;site=ehost-live&amp;scope=site" TargetMode="External"/><Relationship Id="rId3" Type="http://schemas.openxmlformats.org/officeDocument/2006/relationships/hyperlink" Target="http://search.ebscohost.com.proxy-ub.rug.nl/login.aspx?direct=true&amp;db=psyh&amp;AN=2018-63290-015&amp;site=ehost-live&amp;scope=site" TargetMode="External"/><Relationship Id="rId214" Type="http://schemas.openxmlformats.org/officeDocument/2006/relationships/hyperlink" Target="http://search.ebscohost.com.proxy-ub.rug.nl/login.aspx?direct=true&amp;db=psyh&amp;AN=2006-22772-004&amp;site=ehost-live&amp;scope=site" TargetMode="External"/><Relationship Id="rId235" Type="http://schemas.openxmlformats.org/officeDocument/2006/relationships/hyperlink" Target="http://search.ebscohost.com.proxy-ub.rug.nl/login.aspx?direct=true&amp;db=psyh&amp;AN=2006-13051-004&amp;site=ehost-live&amp;scope=site" TargetMode="External"/><Relationship Id="rId256" Type="http://schemas.openxmlformats.org/officeDocument/2006/relationships/hyperlink" Target="http://search.ebscohost.com.proxy-ub.rug.nl/login.aspx?direct=true&amp;db=psyh&amp;AN=2011-99030-201&amp;site=ehost-live&amp;scope=site" TargetMode="External"/><Relationship Id="rId277" Type="http://schemas.openxmlformats.org/officeDocument/2006/relationships/hyperlink" Target="http://search.ebscohost.com.proxy-ub.rug.nl/login.aspx?direct=true&amp;db=psyh&amp;AN=2017-40897-010&amp;site=ehost-live&amp;scope=site" TargetMode="External"/><Relationship Id="rId298" Type="http://schemas.openxmlformats.org/officeDocument/2006/relationships/hyperlink" Target="http://search.ebscohost.com.proxy-ub.rug.nl/login.aspx?direct=true&amp;db=psyh&amp;AN=2016-07771-006&amp;site=ehost-live&amp;scope=site" TargetMode="External"/><Relationship Id="rId400" Type="http://schemas.openxmlformats.org/officeDocument/2006/relationships/hyperlink" Target="http://search.ebscohost.com.proxy-ub.rug.nl/login.aspx?direct=true&amp;db=psyh&amp;AN=2013-19219-004&amp;site=ehost-live&amp;scope=site" TargetMode="External"/><Relationship Id="rId421" Type="http://schemas.openxmlformats.org/officeDocument/2006/relationships/hyperlink" Target="http://search.ebscohost.com.proxy-ub.rug.nl/login.aspx?direct=true&amp;db=psyh&amp;AN=2008-03873-006&amp;site=ehost-live&amp;scope=site" TargetMode="External"/><Relationship Id="rId442" Type="http://schemas.openxmlformats.org/officeDocument/2006/relationships/hyperlink" Target="http://search.ebscohost.com.proxy-ub.rug.nl/login.aspx?direct=true&amp;db=psyh&amp;AN=2012-18286-022&amp;site=ehost-live&amp;scope=site" TargetMode="External"/><Relationship Id="rId463" Type="http://schemas.openxmlformats.org/officeDocument/2006/relationships/hyperlink" Target="http://search.ebscohost.com.proxy-ub.rug.nl/login.aspx?direct=true&amp;db=psyh&amp;AN=1997-95008-458&amp;site=ehost-live&amp;scope=site" TargetMode="External"/><Relationship Id="rId116" Type="http://schemas.openxmlformats.org/officeDocument/2006/relationships/hyperlink" Target="http://search.ebscohost.com.proxy-ub.rug.nl/login.aspx?direct=true&amp;db=psyh&amp;AN=2016-11310-001&amp;site=ehost-live&amp;scope=site" TargetMode="External"/><Relationship Id="rId137" Type="http://schemas.openxmlformats.org/officeDocument/2006/relationships/hyperlink" Target="http://search.ebscohost.com.proxy-ub.rug.nl/login.aspx?direct=true&amp;db=psyh&amp;AN=2007-07239-004&amp;site=ehost-live&amp;scope=site" TargetMode="External"/><Relationship Id="rId158" Type="http://schemas.openxmlformats.org/officeDocument/2006/relationships/hyperlink" Target="http://search.ebscohost.com.proxy-ub.rug.nl/login.aspx?direct=true&amp;db=psyh&amp;AN=2011-25640-013&amp;site=ehost-live&amp;scope=site" TargetMode="External"/><Relationship Id="rId302" Type="http://schemas.openxmlformats.org/officeDocument/2006/relationships/hyperlink" Target="http://search.ebscohost.com.proxy-ub.rug.nl/login.aspx?direct=true&amp;db=psyh&amp;AN=1987-21681-001&amp;site=ehost-live&amp;scope=site" TargetMode="External"/><Relationship Id="rId323" Type="http://schemas.openxmlformats.org/officeDocument/2006/relationships/hyperlink" Target="http://search.ebscohost.com.proxy-ub.rug.nl/login.aspx?direct=true&amp;db=psyh&amp;AN=2017-07778-027&amp;site=ehost-live&amp;scope=site" TargetMode="External"/><Relationship Id="rId344" Type="http://schemas.openxmlformats.org/officeDocument/2006/relationships/hyperlink" Target="http://search.ebscohost.com.proxy-ub.rug.nl/login.aspx?direct=true&amp;db=psyh&amp;AN=2014-54039-001&amp;site=ehost-live&amp;scope=site" TargetMode="External"/><Relationship Id="rId20" Type="http://schemas.openxmlformats.org/officeDocument/2006/relationships/hyperlink" Target="http://search.ebscohost.com.proxy-ub.rug.nl/login.aspx?direct=true&amp;db=psyh&amp;AN=2018-53587-001&amp;site=ehost-live&amp;scope=site" TargetMode="External"/><Relationship Id="rId41" Type="http://schemas.openxmlformats.org/officeDocument/2006/relationships/hyperlink" Target="http://search.ebscohost.com.proxy-ub.rug.nl/login.aspx?direct=true&amp;db=psyh&amp;AN=2000-14057-002&amp;site=ehost-live&amp;scope=site" TargetMode="External"/><Relationship Id="rId62" Type="http://schemas.openxmlformats.org/officeDocument/2006/relationships/hyperlink" Target="http://search.ebscohost.com.proxy-ub.rug.nl/login.aspx?direct=true&amp;db=psyh&amp;AN=2017-26324-003&amp;site=ehost-live&amp;scope=site" TargetMode="External"/><Relationship Id="rId83" Type="http://schemas.openxmlformats.org/officeDocument/2006/relationships/hyperlink" Target="http://search.ebscohost.com.proxy-ub.rug.nl/login.aspx?direct=true&amp;db=psyh&amp;AN=2014-24416-006&amp;site=ehost-live&amp;scope=site" TargetMode="External"/><Relationship Id="rId179" Type="http://schemas.openxmlformats.org/officeDocument/2006/relationships/hyperlink" Target="http://search.ebscohost.com.proxy-ub.rug.nl/login.aspx?direct=true&amp;db=psyh&amp;AN=2008-06288-010&amp;site=ehost-live&amp;scope=site" TargetMode="External"/><Relationship Id="rId365" Type="http://schemas.openxmlformats.org/officeDocument/2006/relationships/hyperlink" Target="http://search.ebscohost.com.proxy-ub.rug.nl/login.aspx?direct=true&amp;db=psyh&amp;AN=2012-31123-001&amp;site=ehost-live&amp;scope=site" TargetMode="External"/><Relationship Id="rId386" Type="http://schemas.openxmlformats.org/officeDocument/2006/relationships/hyperlink" Target="http://search.ebscohost.com.proxy-ub.rug.nl/login.aspx?direct=true&amp;db=psyh&amp;AN=2011-00885-006&amp;site=ehost-live&amp;scope=site" TargetMode="External"/><Relationship Id="rId190" Type="http://schemas.openxmlformats.org/officeDocument/2006/relationships/hyperlink" Target="http://search.ebscohost.com.proxy-ub.rug.nl/login.aspx?direct=true&amp;db=psyh&amp;AN=2008-10613-006&amp;site=ehost-live&amp;scope=site" TargetMode="External"/><Relationship Id="rId204" Type="http://schemas.openxmlformats.org/officeDocument/2006/relationships/hyperlink" Target="http://search.ebscohost.com.proxy-ub.rug.nl/login.aspx?direct=true&amp;db=psyh&amp;AN=2012-14917-001&amp;site=ehost-live&amp;scope=site" TargetMode="External"/><Relationship Id="rId225" Type="http://schemas.openxmlformats.org/officeDocument/2006/relationships/hyperlink" Target="http://search.ebscohost.com.proxy-ub.rug.nl/login.aspx?direct=true&amp;db=psyh&amp;AN=2000-03496-005&amp;site=ehost-live&amp;scope=site" TargetMode="External"/><Relationship Id="rId246" Type="http://schemas.openxmlformats.org/officeDocument/2006/relationships/hyperlink" Target="http://search.ebscohost.com.proxy-ub.rug.nl/login.aspx?direct=true&amp;db=psyh&amp;AN=2014-37149-019&amp;site=ehost-live&amp;scope=site" TargetMode="External"/><Relationship Id="rId267" Type="http://schemas.openxmlformats.org/officeDocument/2006/relationships/hyperlink" Target="http://search.ebscohost.com.proxy-ub.rug.nl/login.aspx?direct=true&amp;db=psyh&amp;AN=2014-46296-030&amp;site=ehost-live&amp;scope=site" TargetMode="External"/><Relationship Id="rId288" Type="http://schemas.openxmlformats.org/officeDocument/2006/relationships/hyperlink" Target="http://search.ebscohost.com.proxy-ub.rug.nl/login.aspx?direct=true&amp;db=psyh&amp;AN=2011-05261-004&amp;site=ehost-live&amp;scope=site" TargetMode="External"/><Relationship Id="rId411" Type="http://schemas.openxmlformats.org/officeDocument/2006/relationships/hyperlink" Target="http://search.ebscohost.com.proxy-ub.rug.nl/login.aspx?direct=true&amp;db=psyh&amp;AN=2002-00998-002&amp;site=ehost-live&amp;scope=site" TargetMode="External"/><Relationship Id="rId432" Type="http://schemas.openxmlformats.org/officeDocument/2006/relationships/hyperlink" Target="http://search.ebscohost.com.proxy-ub.rug.nl/login.aspx?direct=true&amp;db=psyh&amp;AN=2011-12314-004&amp;site=ehost-live&amp;scope=site" TargetMode="External"/><Relationship Id="rId453" Type="http://schemas.openxmlformats.org/officeDocument/2006/relationships/hyperlink" Target="http://search.ebscohost.com.proxy-ub.rug.nl/login.aspx?direct=true&amp;db=psyh&amp;AN=1998-06624-013&amp;site=ehost-live&amp;scope=site" TargetMode="External"/><Relationship Id="rId474" Type="http://schemas.openxmlformats.org/officeDocument/2006/relationships/hyperlink" Target="http://search.ebscohost.com.proxy-ub.rug.nl/login.aspx?direct=true&amp;db=psyh&amp;AN=1997-95014-005&amp;site=ehost-live&amp;scope=site" TargetMode="External"/><Relationship Id="rId106" Type="http://schemas.openxmlformats.org/officeDocument/2006/relationships/hyperlink" Target="http://search.ebscohost.com.proxy-ub.rug.nl/login.aspx?direct=true&amp;db=psyh&amp;AN=2016-01468-006&amp;site=ehost-live&amp;scope=site" TargetMode="External"/><Relationship Id="rId127" Type="http://schemas.openxmlformats.org/officeDocument/2006/relationships/hyperlink" Target="http://search.ebscohost.com.proxy-ub.rug.nl/login.aspx?direct=true&amp;db=psyh&amp;AN=2014-37149-014&amp;site=ehost-live&amp;scope=site" TargetMode="External"/><Relationship Id="rId313" Type="http://schemas.openxmlformats.org/officeDocument/2006/relationships/hyperlink" Target="http://search.ebscohost.com.proxy-ub.rug.nl/login.aspx?direct=true&amp;db=psyh&amp;AN=2005-99024-123&amp;site=ehost-live&amp;scope=site" TargetMode="External"/><Relationship Id="rId10" Type="http://schemas.openxmlformats.org/officeDocument/2006/relationships/hyperlink" Target="http://search.ebscohost.com.proxy-ub.rug.nl/login.aspx?direct=true&amp;db=psyh&amp;AN=2017-30358-001&amp;site=ehost-live&amp;scope=site" TargetMode="External"/><Relationship Id="rId31" Type="http://schemas.openxmlformats.org/officeDocument/2006/relationships/hyperlink" Target="http://search.ebscohost.com.proxy-ub.rug.nl/login.aspx?direct=true&amp;db=psyh&amp;AN=2018-65940-007&amp;site=ehost-live&amp;scope=site" TargetMode="External"/><Relationship Id="rId52" Type="http://schemas.openxmlformats.org/officeDocument/2006/relationships/hyperlink" Target="http://search.ebscohost.com.proxy-ub.rug.nl/login.aspx?direct=true&amp;db=psyh&amp;AN=2017-06807-008&amp;site=ehost-live&amp;scope=site" TargetMode="External"/><Relationship Id="rId73" Type="http://schemas.openxmlformats.org/officeDocument/2006/relationships/hyperlink" Target="http://search.ebscohost.com.proxy-ub.rug.nl/login.aspx?direct=true&amp;db=psyh&amp;AN=2019-40968-001&amp;site=ehost-live&amp;scope=site" TargetMode="External"/><Relationship Id="rId94" Type="http://schemas.openxmlformats.org/officeDocument/2006/relationships/hyperlink" Target="http://search.ebscohost.com.proxy-ub.rug.nl/login.aspx?direct=true&amp;db=psyh&amp;AN=2016-21250-038&amp;site=ehost-live&amp;scope=site" TargetMode="External"/><Relationship Id="rId148" Type="http://schemas.openxmlformats.org/officeDocument/2006/relationships/hyperlink" Target="http://search.ebscohost.com.proxy-ub.rug.nl/login.aspx?direct=true&amp;db=psyh&amp;AN=2015-38658-001&amp;site=ehost-live&amp;scope=site" TargetMode="External"/><Relationship Id="rId169" Type="http://schemas.openxmlformats.org/officeDocument/2006/relationships/hyperlink" Target="http://search.ebscohost.com.proxy-ub.rug.nl/login.aspx?direct=true&amp;db=psyh&amp;AN=2010-23068-012&amp;site=ehost-live&amp;scope=site" TargetMode="External"/><Relationship Id="rId334" Type="http://schemas.openxmlformats.org/officeDocument/2006/relationships/hyperlink" Target="http://search.ebscohost.com.proxy-ub.rug.nl/login.aspx?direct=true&amp;db=psyh&amp;AN=1996-95018-059&amp;site=ehost-live&amp;scope=site" TargetMode="External"/><Relationship Id="rId355" Type="http://schemas.openxmlformats.org/officeDocument/2006/relationships/hyperlink" Target="http://search.ebscohost.com.proxy-ub.rug.nl/login.aspx?direct=true&amp;db=psyh&amp;AN=1981-10111-001&amp;site=ehost-live&amp;scope=site" TargetMode="External"/><Relationship Id="rId376" Type="http://schemas.openxmlformats.org/officeDocument/2006/relationships/hyperlink" Target="http://search.ebscohost.com.proxy-ub.rug.nl/login.aspx?direct=true&amp;db=psyh&amp;AN=2012-29477-013&amp;site=ehost-live&amp;scope=site" TargetMode="External"/><Relationship Id="rId397" Type="http://schemas.openxmlformats.org/officeDocument/2006/relationships/hyperlink" Target="http://search.ebscohost.com.proxy-ub.rug.nl/login.aspx?direct=true&amp;db=psyh&amp;AN=1970-20745-001&amp;site=ehost-live&amp;scope=site" TargetMode="External"/><Relationship Id="rId4" Type="http://schemas.openxmlformats.org/officeDocument/2006/relationships/hyperlink" Target="http://search.ebscohost.com.proxy-ub.rug.nl/login.aspx?direct=true&amp;db=psyh&amp;AN=2019-00352-258&amp;site=ehost-live&amp;scope=site" TargetMode="External"/><Relationship Id="rId180" Type="http://schemas.openxmlformats.org/officeDocument/2006/relationships/hyperlink" Target="http://search.ebscohost.com.proxy-ub.rug.nl/login.aspx?direct=true&amp;db=psyh&amp;AN=2006-02360-004&amp;site=ehost-live&amp;scope=site" TargetMode="External"/><Relationship Id="rId215" Type="http://schemas.openxmlformats.org/officeDocument/2006/relationships/hyperlink" Target="http://search.ebscohost.com.proxy-ub.rug.nl/login.aspx?direct=true&amp;db=psyh&amp;AN=2002-04033-002&amp;site=ehost-live&amp;scope=site" TargetMode="External"/><Relationship Id="rId236" Type="http://schemas.openxmlformats.org/officeDocument/2006/relationships/hyperlink" Target="http://search.ebscohost.com.proxy-ub.rug.nl/login.aspx?direct=true&amp;db=psyh&amp;AN=2017-40278-002&amp;site=ehost-live&amp;scope=site" TargetMode="External"/><Relationship Id="rId257" Type="http://schemas.openxmlformats.org/officeDocument/2006/relationships/hyperlink" Target="http://search.ebscohost.com.proxy-ub.rug.nl/login.aspx?direct=true&amp;db=psyh&amp;AN=2008-02814-003&amp;site=ehost-live&amp;scope=site" TargetMode="External"/><Relationship Id="rId278" Type="http://schemas.openxmlformats.org/officeDocument/2006/relationships/hyperlink" Target="http://search.ebscohost.com.proxy-ub.rug.nl/login.aspx?direct=true&amp;db=psyh&amp;AN=1996-02404-003&amp;site=ehost-live&amp;scope=site" TargetMode="External"/><Relationship Id="rId401" Type="http://schemas.openxmlformats.org/officeDocument/2006/relationships/hyperlink" Target="http://search.ebscohost.com.proxy-ub.rug.nl/login.aspx?direct=true&amp;db=psyh&amp;AN=1979-25861-001&amp;site=ehost-live&amp;scope=site" TargetMode="External"/><Relationship Id="rId422" Type="http://schemas.openxmlformats.org/officeDocument/2006/relationships/hyperlink" Target="http://search.ebscohost.com.proxy-ub.rug.nl/login.aspx?direct=true&amp;db=psyh&amp;AN=2005-04590-004&amp;site=ehost-live&amp;scope=site" TargetMode="External"/><Relationship Id="rId443" Type="http://schemas.openxmlformats.org/officeDocument/2006/relationships/hyperlink" Target="http://search.ebscohost.com.proxy-ub.rug.nl/login.aspx?direct=true&amp;db=psyh&amp;AN=2010-12177-004&amp;site=ehost-live&amp;scope=site" TargetMode="External"/><Relationship Id="rId464" Type="http://schemas.openxmlformats.org/officeDocument/2006/relationships/hyperlink" Target="http://search.ebscohost.com.proxy-ub.rug.nl/login.aspx?direct=true&amp;db=psyh&amp;AN=2008-99020-431&amp;site=ehost-live&amp;scope=site" TargetMode="External"/><Relationship Id="rId303" Type="http://schemas.openxmlformats.org/officeDocument/2006/relationships/hyperlink" Target="http://search.ebscohost.com.proxy-ub.rug.nl/login.aspx?direct=true&amp;db=psyh&amp;AN=2002-06453-004&amp;site=ehost-live&amp;scope=site" TargetMode="External"/><Relationship Id="rId42" Type="http://schemas.openxmlformats.org/officeDocument/2006/relationships/hyperlink" Target="http://search.ebscohost.com.proxy-ub.rug.nl/login.aspx?direct=true&amp;db=psyh&amp;AN=2017-23944-006&amp;site=ehost-live&amp;scope=site" TargetMode="External"/><Relationship Id="rId84" Type="http://schemas.openxmlformats.org/officeDocument/2006/relationships/hyperlink" Target="http://search.ebscohost.com.proxy-ub.rug.nl/login.aspx?direct=true&amp;db=psyh&amp;AN=2016-12605-007&amp;site=ehost-live&amp;scope=site" TargetMode="External"/><Relationship Id="rId138" Type="http://schemas.openxmlformats.org/officeDocument/2006/relationships/hyperlink" Target="http://search.ebscohost.com.proxy-ub.rug.nl/login.aspx?direct=true&amp;db=psyh&amp;AN=2017-53660-011&amp;site=ehost-live&amp;scope=site" TargetMode="External"/><Relationship Id="rId345" Type="http://schemas.openxmlformats.org/officeDocument/2006/relationships/hyperlink" Target="http://search.ebscohost.com.proxy-ub.rug.nl/login.aspx?direct=true&amp;db=psyh&amp;AN=2013-05693-015&amp;site=ehost-live&amp;scope=site" TargetMode="External"/><Relationship Id="rId387" Type="http://schemas.openxmlformats.org/officeDocument/2006/relationships/hyperlink" Target="http://search.ebscohost.com.proxy-ub.rug.nl/login.aspx?direct=true&amp;db=psyh&amp;AN=2014-13399-001&amp;site=ehost-live&amp;scope=site" TargetMode="External"/><Relationship Id="rId191" Type="http://schemas.openxmlformats.org/officeDocument/2006/relationships/hyperlink" Target="http://search.ebscohost.com.proxy-ub.rug.nl/login.aspx?direct=true&amp;db=psyh&amp;AN=2000-07199-027&amp;site=ehost-live&amp;scope=site" TargetMode="External"/><Relationship Id="rId205" Type="http://schemas.openxmlformats.org/officeDocument/2006/relationships/hyperlink" Target="http://search.ebscohost.com.proxy-ub.rug.nl/login.aspx?direct=true&amp;db=psyh&amp;AN=2009-06562-008&amp;site=ehost-live&amp;scope=site" TargetMode="External"/><Relationship Id="rId247" Type="http://schemas.openxmlformats.org/officeDocument/2006/relationships/hyperlink" Target="http://search.ebscohost.com.proxy-ub.rug.nl/login.aspx?direct=true&amp;db=psyh&amp;AN=1995-09197-001&amp;site=ehost-live&amp;scope=site" TargetMode="External"/><Relationship Id="rId412" Type="http://schemas.openxmlformats.org/officeDocument/2006/relationships/hyperlink" Target="http://search.ebscohost.com.proxy-ub.rug.nl/login.aspx?direct=true&amp;db=psyh&amp;AN=1996-08375-001&amp;site=ehost-live&amp;scope=site" TargetMode="External"/><Relationship Id="rId107" Type="http://schemas.openxmlformats.org/officeDocument/2006/relationships/hyperlink" Target="http://search.ebscohost.com.proxy-ub.rug.nl/login.aspx?direct=true&amp;db=psyh&amp;AN=2013-99171-065&amp;site=ehost-live&amp;scope=site" TargetMode="External"/><Relationship Id="rId289" Type="http://schemas.openxmlformats.org/officeDocument/2006/relationships/hyperlink" Target="http://search.ebscohost.com.proxy-ub.rug.nl/login.aspx?direct=true&amp;db=psyh&amp;AN=1991-21110-001&amp;site=ehost-live&amp;scope=site" TargetMode="External"/><Relationship Id="rId454" Type="http://schemas.openxmlformats.org/officeDocument/2006/relationships/hyperlink" Target="http://search.ebscohost.com.proxy-ub.rug.nl/login.aspx?direct=true&amp;db=psyh&amp;AN=2016-24335-001&amp;site=ehost-live&amp;scope=site" TargetMode="External"/><Relationship Id="rId11" Type="http://schemas.openxmlformats.org/officeDocument/2006/relationships/hyperlink" Target="http://search.ebscohost.com.proxy-ub.rug.nl/login.aspx?direct=true&amp;db=psyh&amp;AN=2017-49062-001&amp;site=ehost-live&amp;scope=site" TargetMode="External"/><Relationship Id="rId53" Type="http://schemas.openxmlformats.org/officeDocument/2006/relationships/hyperlink" Target="http://search.ebscohost.com.proxy-ub.rug.nl/login.aspx?direct=true&amp;db=psyh&amp;AN=2017-52246-006&amp;site=ehost-live&amp;scope=site" TargetMode="External"/><Relationship Id="rId149" Type="http://schemas.openxmlformats.org/officeDocument/2006/relationships/hyperlink" Target="http://search.ebscohost.com.proxy-ub.rug.nl/login.aspx?direct=true&amp;db=psyh&amp;AN=2011-07362-001&amp;site=ehost-live&amp;scope=site" TargetMode="External"/><Relationship Id="rId314" Type="http://schemas.openxmlformats.org/officeDocument/2006/relationships/hyperlink" Target="http://search.ebscohost.com.proxy-ub.rug.nl/login.aspx?direct=true&amp;db=psyh&amp;AN=2000-15778-001&amp;site=ehost-live&amp;scope=site" TargetMode="External"/><Relationship Id="rId356" Type="http://schemas.openxmlformats.org/officeDocument/2006/relationships/hyperlink" Target="http://search.ebscohost.com.proxy-ub.rug.nl/login.aspx?direct=true&amp;db=psyh&amp;AN=2013-00937-000&amp;site=ehost-live&amp;scope=site" TargetMode="External"/><Relationship Id="rId398" Type="http://schemas.openxmlformats.org/officeDocument/2006/relationships/hyperlink" Target="http://search.ebscohost.com.proxy-ub.rug.nl/login.aspx?direct=true&amp;db=psyh&amp;AN=2003-99558-001&amp;site=ehost-live&amp;scope=site" TargetMode="External"/><Relationship Id="rId95" Type="http://schemas.openxmlformats.org/officeDocument/2006/relationships/hyperlink" Target="http://search.ebscohost.com.proxy-ub.rug.nl/login.aspx?direct=true&amp;db=psyh&amp;AN=2015-22791-006&amp;site=ehost-live&amp;scope=site" TargetMode="External"/><Relationship Id="rId160" Type="http://schemas.openxmlformats.org/officeDocument/2006/relationships/hyperlink" Target="http://search.ebscohost.com.proxy-ub.rug.nl/login.aspx?direct=true&amp;db=psyh&amp;AN=2012-17246-003&amp;site=ehost-live&amp;scope=site" TargetMode="External"/><Relationship Id="rId216" Type="http://schemas.openxmlformats.org/officeDocument/2006/relationships/hyperlink" Target="http://search.ebscohost.com.proxy-ub.rug.nl/login.aspx?direct=true&amp;db=psyh&amp;AN=2009-03109-011&amp;site=ehost-live&amp;scope=site" TargetMode="External"/><Relationship Id="rId423" Type="http://schemas.openxmlformats.org/officeDocument/2006/relationships/hyperlink" Target="http://search.ebscohost.com.proxy-ub.rug.nl/login.aspx?direct=true&amp;db=psyh&amp;AN=2000-07292-001&amp;site=ehost-live&amp;scope=site" TargetMode="External"/><Relationship Id="rId258" Type="http://schemas.openxmlformats.org/officeDocument/2006/relationships/hyperlink" Target="http://search.ebscohost.com.proxy-ub.rug.nl/login.aspx?direct=true&amp;db=psyh&amp;AN=1999-11831-004&amp;site=ehost-live&amp;scope=site" TargetMode="External"/><Relationship Id="rId465" Type="http://schemas.openxmlformats.org/officeDocument/2006/relationships/hyperlink" Target="http://search.ebscohost.com.proxy-ub.rug.nl/login.aspx?direct=true&amp;db=psyh&amp;AN=2011-25096-002&amp;site=ehost-live&amp;scope=site" TargetMode="External"/><Relationship Id="rId22" Type="http://schemas.openxmlformats.org/officeDocument/2006/relationships/hyperlink" Target="http://search.ebscohost.com.proxy-ub.rug.nl/login.aspx?direct=true&amp;db=psyh&amp;AN=2016-18552-001&amp;site=ehost-live&amp;scope=site" TargetMode="External"/><Relationship Id="rId64" Type="http://schemas.openxmlformats.org/officeDocument/2006/relationships/hyperlink" Target="http://search.ebscohost.com.proxy-ub.rug.nl/login.aspx?direct=true&amp;db=psyh&amp;AN=2016-57900-001&amp;site=ehost-live&amp;scope=site" TargetMode="External"/><Relationship Id="rId118" Type="http://schemas.openxmlformats.org/officeDocument/2006/relationships/hyperlink" Target="http://search.ebscohost.com.proxy-ub.rug.nl/login.aspx?direct=true&amp;db=psyh&amp;AN=2010-10983-003&amp;site=ehost-live&amp;scope=site" TargetMode="External"/><Relationship Id="rId325" Type="http://schemas.openxmlformats.org/officeDocument/2006/relationships/hyperlink" Target="http://search.ebscohost.com.proxy-ub.rug.nl/login.aspx?direct=true&amp;db=psyh&amp;AN=2015-99020-501&amp;site=ehost-live&amp;scope=site" TargetMode="External"/><Relationship Id="rId367" Type="http://schemas.openxmlformats.org/officeDocument/2006/relationships/hyperlink" Target="http://search.ebscohost.com.proxy-ub.rug.nl/login.aspx?direct=true&amp;db=psyh&amp;AN=2013-00020-010&amp;site=ehost-live&amp;scope=site" TargetMode="External"/><Relationship Id="rId171" Type="http://schemas.openxmlformats.org/officeDocument/2006/relationships/hyperlink" Target="http://search.ebscohost.com.proxy-ub.rug.nl/login.aspx?direct=true&amp;db=psyh&amp;AN=2015-99070-590&amp;site=ehost-live&amp;scope=site" TargetMode="External"/><Relationship Id="rId227" Type="http://schemas.openxmlformats.org/officeDocument/2006/relationships/hyperlink" Target="http://search.ebscohost.com.proxy-ub.rug.nl/login.aspx?direct=true&amp;db=psyh&amp;AN=2015-23503-016&amp;site=ehost-live&amp;scope=site" TargetMode="External"/><Relationship Id="rId269" Type="http://schemas.openxmlformats.org/officeDocument/2006/relationships/hyperlink" Target="http://search.ebscohost.com.proxy-ub.rug.nl/login.aspx?direct=true&amp;db=psyh&amp;AN=2004-22238-005&amp;site=ehost-live&amp;scope=site" TargetMode="External"/><Relationship Id="rId434" Type="http://schemas.openxmlformats.org/officeDocument/2006/relationships/hyperlink" Target="http://search.ebscohost.com.proxy-ub.rug.nl/login.aspx?direct=true&amp;db=psyh&amp;AN=1989-40079-001&amp;site=ehost-live&amp;scope=site" TargetMode="External"/><Relationship Id="rId476" Type="http://schemas.openxmlformats.org/officeDocument/2006/relationships/hyperlink" Target="http://search.ebscohost.com.proxy-ub.rug.nl/login.aspx?direct=true&amp;db=psyh&amp;AN=2000-95019-020&amp;site=ehost-live&amp;scope=site" TargetMode="External"/><Relationship Id="rId33" Type="http://schemas.openxmlformats.org/officeDocument/2006/relationships/hyperlink" Target="http://search.ebscohost.com.proxy-ub.rug.nl/login.aspx?direct=true&amp;db=psyh&amp;AN=2006-13051-001&amp;site=ehost-live&amp;scope=site" TargetMode="External"/><Relationship Id="rId129" Type="http://schemas.openxmlformats.org/officeDocument/2006/relationships/hyperlink" Target="http://search.ebscohost.com.proxy-ub.rug.nl/login.aspx?direct=true&amp;db=psyh&amp;AN=2013-05869-008&amp;site=ehost-live&amp;scope=site" TargetMode="External"/><Relationship Id="rId280" Type="http://schemas.openxmlformats.org/officeDocument/2006/relationships/hyperlink" Target="http://search.ebscohost.com.proxy-ub.rug.nl/login.aspx?direct=true&amp;db=psyh&amp;AN=2010-11458-006&amp;site=ehost-live&amp;scope=site" TargetMode="External"/><Relationship Id="rId336" Type="http://schemas.openxmlformats.org/officeDocument/2006/relationships/hyperlink" Target="http://search.ebscohost.com.proxy-ub.rug.nl/login.aspx?direct=true&amp;db=psyh&amp;AN=2016-26336-004&amp;site=ehost-live&amp;scope=site" TargetMode="External"/><Relationship Id="rId75" Type="http://schemas.openxmlformats.org/officeDocument/2006/relationships/hyperlink" Target="http://search.ebscohost.com.proxy-ub.rug.nl/login.aspx?direct=true&amp;db=psyh&amp;AN=2016-26336-008&amp;site=ehost-live&amp;scope=site" TargetMode="External"/><Relationship Id="rId140" Type="http://schemas.openxmlformats.org/officeDocument/2006/relationships/hyperlink" Target="http://search.ebscohost.com.proxy-ub.rug.nl/login.aspx?direct=true&amp;db=psyh&amp;AN=2019-11455-003&amp;site=ehost-live&amp;scope=site" TargetMode="External"/><Relationship Id="rId182" Type="http://schemas.openxmlformats.org/officeDocument/2006/relationships/hyperlink" Target="http://search.ebscohost.com.proxy-ub.rug.nl/login.aspx?direct=true&amp;db=psyh&amp;AN=2013-30315-005&amp;site=ehost-live&amp;scope=site" TargetMode="External"/><Relationship Id="rId378" Type="http://schemas.openxmlformats.org/officeDocument/2006/relationships/hyperlink" Target="http://search.ebscohost.com.proxy-ub.rug.nl/login.aspx?direct=true&amp;db=psyh&amp;AN=2013-17672-007&amp;site=ehost-live&amp;scope=site" TargetMode="External"/><Relationship Id="rId403" Type="http://schemas.openxmlformats.org/officeDocument/2006/relationships/hyperlink" Target="http://search.ebscohost.com.proxy-ub.rug.nl/login.aspx?direct=true&amp;db=psyh&amp;AN=2013-01514-004&amp;site=ehost-live&amp;scope=site" TargetMode="External"/><Relationship Id="rId6" Type="http://schemas.openxmlformats.org/officeDocument/2006/relationships/hyperlink" Target="http://search.ebscohost.com.proxy-ub.rug.nl/login.aspx?direct=true&amp;db=psyh&amp;AN=2019-50233-006&amp;site=ehost-live&amp;scope=site" TargetMode="External"/><Relationship Id="rId238" Type="http://schemas.openxmlformats.org/officeDocument/2006/relationships/hyperlink" Target="http://search.ebscohost.com.proxy-ub.rug.nl/login.aspx?direct=true&amp;db=psyh&amp;AN=1996-14153-001&amp;site=ehost-live&amp;scope=site" TargetMode="External"/><Relationship Id="rId445" Type="http://schemas.openxmlformats.org/officeDocument/2006/relationships/hyperlink" Target="http://search.ebscohost.com.proxy-ub.rug.nl/login.aspx?direct=true&amp;db=psyh&amp;AN=2010-99040-102&amp;site=ehost-live&amp;scope=site" TargetMode="External"/><Relationship Id="rId291" Type="http://schemas.openxmlformats.org/officeDocument/2006/relationships/hyperlink" Target="http://search.ebscohost.com.proxy-ub.rug.nl/login.aspx?direct=true&amp;db=psyh&amp;AN=2016-23492-018&amp;site=ehost-live&amp;scope=site" TargetMode="External"/><Relationship Id="rId305" Type="http://schemas.openxmlformats.org/officeDocument/2006/relationships/hyperlink" Target="http://search.ebscohost.com.proxy-ub.rug.nl/login.aspx?direct=true&amp;db=psyh&amp;AN=1993-33598-001&amp;site=ehost-live&amp;scope=site" TargetMode="External"/><Relationship Id="rId347" Type="http://schemas.openxmlformats.org/officeDocument/2006/relationships/hyperlink" Target="http://search.ebscohost.com.proxy-ub.rug.nl/login.aspx?direct=true&amp;db=psyh&amp;AN=2003-08831-016&amp;site=ehost-live&amp;scope=site" TargetMode="External"/><Relationship Id="rId44" Type="http://schemas.openxmlformats.org/officeDocument/2006/relationships/hyperlink" Target="http://search.ebscohost.com.proxy-ub.rug.nl/login.aspx?direct=true&amp;db=psyh&amp;AN=2016-00154-004&amp;site=ehost-live&amp;scope=site" TargetMode="External"/><Relationship Id="rId86" Type="http://schemas.openxmlformats.org/officeDocument/2006/relationships/hyperlink" Target="http://search.ebscohost.com.proxy-ub.rug.nl/login.aspx?direct=true&amp;db=psyh&amp;AN=2017-53660-015&amp;site=ehost-live&amp;scope=site" TargetMode="External"/><Relationship Id="rId151" Type="http://schemas.openxmlformats.org/officeDocument/2006/relationships/hyperlink" Target="http://search.ebscohost.com.proxy-ub.rug.nl/login.aspx?direct=true&amp;db=psyh&amp;AN=2018-30343-245&amp;site=ehost-live&amp;scope=site" TargetMode="External"/><Relationship Id="rId389" Type="http://schemas.openxmlformats.org/officeDocument/2006/relationships/hyperlink" Target="http://search.ebscohost.com.proxy-ub.rug.nl/login.aspx?direct=true&amp;db=psyh&amp;AN=2002-12506-004&amp;site=ehost-live&amp;scope=site" TargetMode="External"/><Relationship Id="rId193" Type="http://schemas.openxmlformats.org/officeDocument/2006/relationships/hyperlink" Target="http://search.ebscohost.com.proxy-ub.rug.nl/login.aspx?direct=true&amp;db=psyh&amp;AN=2009-06562-007&amp;site=ehost-live&amp;scope=site" TargetMode="External"/><Relationship Id="rId207" Type="http://schemas.openxmlformats.org/officeDocument/2006/relationships/hyperlink" Target="http://search.ebscohost.com.proxy-ub.rug.nl/login.aspx?direct=true&amp;db=psyh&amp;AN=2004-14304-002&amp;site=ehost-live&amp;scope=site" TargetMode="External"/><Relationship Id="rId249" Type="http://schemas.openxmlformats.org/officeDocument/2006/relationships/hyperlink" Target="http://search.ebscohost.com.proxy-ub.rug.nl/login.aspx?direct=true&amp;db=psyh&amp;AN=2000-00033-007&amp;site=ehost-live&amp;scope=site" TargetMode="External"/><Relationship Id="rId414" Type="http://schemas.openxmlformats.org/officeDocument/2006/relationships/hyperlink" Target="http://search.ebscohost.com.proxy-ub.rug.nl/login.aspx?direct=true&amp;db=psyh&amp;AN=2009-01197-003&amp;site=ehost-live&amp;scope=site" TargetMode="External"/><Relationship Id="rId456" Type="http://schemas.openxmlformats.org/officeDocument/2006/relationships/hyperlink" Target="http://search.ebscohost.com.proxy-ub.rug.nl/login.aspx?direct=true&amp;db=psyh&amp;AN=2007-19924-006&amp;site=ehost-live&amp;scope=site" TargetMode="External"/><Relationship Id="rId13" Type="http://schemas.openxmlformats.org/officeDocument/2006/relationships/hyperlink" Target="http://search.ebscohost.com.proxy-ub.rug.nl/login.aspx?direct=true&amp;db=psyh&amp;AN=2019-65801-001&amp;site=ehost-live&amp;scope=site" TargetMode="External"/><Relationship Id="rId109" Type="http://schemas.openxmlformats.org/officeDocument/2006/relationships/hyperlink" Target="http://search.ebscohost.com.proxy-ub.rug.nl/login.aspx?direct=true&amp;db=psyh&amp;AN=2017-43855-007&amp;site=ehost-live&amp;scope=site" TargetMode="External"/><Relationship Id="rId260" Type="http://schemas.openxmlformats.org/officeDocument/2006/relationships/hyperlink" Target="http://search.ebscohost.com.proxy-ub.rug.nl/login.aspx?direct=true&amp;db=psyh&amp;AN=2017-05260-001&amp;site=ehost-live&amp;scope=site" TargetMode="External"/><Relationship Id="rId316" Type="http://schemas.openxmlformats.org/officeDocument/2006/relationships/hyperlink" Target="http://search.ebscohost.com.proxy-ub.rug.nl/login.aspx?direct=true&amp;db=psyh&amp;AN=2001-18625-002&amp;site=ehost-live&amp;scope=site" TargetMode="External"/><Relationship Id="rId55" Type="http://schemas.openxmlformats.org/officeDocument/2006/relationships/hyperlink" Target="http://search.ebscohost.com.proxy-ub.rug.nl/login.aspx?direct=true&amp;db=psyh&amp;AN=2017-05712-024&amp;site=ehost-live&amp;scope=site" TargetMode="External"/><Relationship Id="rId97" Type="http://schemas.openxmlformats.org/officeDocument/2006/relationships/hyperlink" Target="http://search.ebscohost.com.proxy-ub.rug.nl/login.aspx?direct=true&amp;db=psyh&amp;AN=2012-09168-001&amp;site=ehost-live&amp;scope=site" TargetMode="External"/><Relationship Id="rId120" Type="http://schemas.openxmlformats.org/officeDocument/2006/relationships/hyperlink" Target="http://search.ebscohost.com.proxy-ub.rug.nl/login.aspx?direct=true&amp;db=psyh&amp;AN=2019-49289-001&amp;site=ehost-live&amp;scope=site" TargetMode="External"/><Relationship Id="rId358" Type="http://schemas.openxmlformats.org/officeDocument/2006/relationships/hyperlink" Target="http://search.ebscohost.com.proxy-ub.rug.nl/login.aspx?direct=true&amp;db=psyh&amp;AN=2011-09638-016&amp;site=ehost-live&amp;scope=site" TargetMode="External"/><Relationship Id="rId162" Type="http://schemas.openxmlformats.org/officeDocument/2006/relationships/hyperlink" Target="http://search.ebscohost.com.proxy-ub.rug.nl/login.aspx?direct=true&amp;db=psyh&amp;AN=2005-05619-004&amp;site=ehost-live&amp;scope=site" TargetMode="External"/><Relationship Id="rId218" Type="http://schemas.openxmlformats.org/officeDocument/2006/relationships/hyperlink" Target="http://search.ebscohost.com.proxy-ub.rug.nl/login.aspx?direct=true&amp;db=psyh&amp;AN=2005-10401-002&amp;site=ehost-live&amp;scope=site" TargetMode="External"/><Relationship Id="rId425" Type="http://schemas.openxmlformats.org/officeDocument/2006/relationships/hyperlink" Target="http://search.ebscohost.com.proxy-ub.rug.nl/login.aspx?direct=true&amp;db=psyh&amp;AN=2003-06426-002&amp;site=ehost-live&amp;scope=site" TargetMode="External"/><Relationship Id="rId467" Type="http://schemas.openxmlformats.org/officeDocument/2006/relationships/hyperlink" Target="http://search.ebscohost.com.proxy-ub.rug.nl/login.aspx?direct=true&amp;db=psyh&amp;AN=1995-95010-076&amp;site=ehost-live&amp;scope=site" TargetMode="External"/><Relationship Id="rId271" Type="http://schemas.openxmlformats.org/officeDocument/2006/relationships/hyperlink" Target="http://search.ebscohost.com.proxy-ub.rug.nl/login.aspx?direct=true&amp;db=psyh&amp;AN=2015-34452-001&amp;site=ehost-live&amp;scope=site" TargetMode="External"/><Relationship Id="rId24" Type="http://schemas.openxmlformats.org/officeDocument/2006/relationships/hyperlink" Target="http://search.ebscohost.com.proxy-ub.rug.nl/login.aspx?direct=true&amp;db=psyh&amp;AN=2005-99014-008&amp;site=ehost-live&amp;scope=site" TargetMode="External"/><Relationship Id="rId66" Type="http://schemas.openxmlformats.org/officeDocument/2006/relationships/hyperlink" Target="http://search.ebscohost.com.proxy-ub.rug.nl/login.aspx?direct=true&amp;db=psyh&amp;AN=2019-68374-036&amp;site=ehost-live&amp;scope=site" TargetMode="External"/><Relationship Id="rId131" Type="http://schemas.openxmlformats.org/officeDocument/2006/relationships/hyperlink" Target="http://search.ebscohost.com.proxy-ub.rug.nl/login.aspx?direct=true&amp;db=psyh&amp;AN=2013-28196-007&amp;site=ehost-live&amp;scope=site" TargetMode="External"/><Relationship Id="rId327" Type="http://schemas.openxmlformats.org/officeDocument/2006/relationships/hyperlink" Target="http://search.ebscohost.com.proxy-ub.rug.nl/login.aspx?direct=true&amp;db=psyh&amp;AN=2000-95016-025&amp;site=ehost-live&amp;scope=site" TargetMode="External"/><Relationship Id="rId369" Type="http://schemas.openxmlformats.org/officeDocument/2006/relationships/hyperlink" Target="http://search.ebscohost.com.proxy-ub.rug.nl/login.aspx?direct=true&amp;db=psyh&amp;AN=2012-21130-001&amp;site=ehost-live&amp;scope=site" TargetMode="External"/><Relationship Id="rId173" Type="http://schemas.openxmlformats.org/officeDocument/2006/relationships/hyperlink" Target="http://search.ebscohost.com.proxy-ub.rug.nl/login.aspx?direct=true&amp;db=psyh&amp;AN=2012-14917-002&amp;site=ehost-live&amp;scope=site" TargetMode="External"/><Relationship Id="rId229" Type="http://schemas.openxmlformats.org/officeDocument/2006/relationships/hyperlink" Target="http://search.ebscohost.com.proxy-ub.rug.nl/login.aspx?direct=true&amp;db=psyh&amp;AN=1996-01442-001&amp;site=ehost-live&amp;scope=site" TargetMode="External"/><Relationship Id="rId380" Type="http://schemas.openxmlformats.org/officeDocument/2006/relationships/hyperlink" Target="http://search.ebscohost.com.proxy-ub.rug.nl/login.aspx?direct=true&amp;db=psyh&amp;AN=2015-18271-016&amp;site=ehost-live&amp;scope=site" TargetMode="External"/><Relationship Id="rId436" Type="http://schemas.openxmlformats.org/officeDocument/2006/relationships/hyperlink" Target="http://search.ebscohost.com.proxy-ub.rug.nl/login.aspx?direct=true&amp;db=psyh&amp;AN=2005-05540-001&amp;site=ehost-live&amp;scope=site" TargetMode="External"/><Relationship Id="rId240" Type="http://schemas.openxmlformats.org/officeDocument/2006/relationships/hyperlink" Target="http://search.ebscohost.com.proxy-ub.rug.nl/login.aspx?direct=true&amp;db=psyh&amp;AN=2006-03066-009&amp;site=ehost-live&amp;scope=site" TargetMode="External"/><Relationship Id="rId478" Type="http://schemas.openxmlformats.org/officeDocument/2006/relationships/hyperlink" Target="http://search.ebscohost.com.proxy-ub.rug.nl/login.aspx?direct=true&amp;db=psyh&amp;AN=2018-19571-006&amp;site=ehost-live&amp;scope=site" TargetMode="External"/><Relationship Id="rId35" Type="http://schemas.openxmlformats.org/officeDocument/2006/relationships/hyperlink" Target="http://search.ebscohost.com.proxy-ub.rug.nl/login.aspx?direct=true&amp;db=psyh&amp;AN=2018-10421-005&amp;site=ehost-live&amp;scope=site" TargetMode="External"/><Relationship Id="rId77" Type="http://schemas.openxmlformats.org/officeDocument/2006/relationships/hyperlink" Target="http://search.ebscohost.com.proxy-ub.rug.nl/login.aspx?direct=true&amp;db=psyh&amp;AN=2016-34985-001&amp;site=ehost-live&amp;scope=site" TargetMode="External"/><Relationship Id="rId100" Type="http://schemas.openxmlformats.org/officeDocument/2006/relationships/hyperlink" Target="http://search.ebscohost.com.proxy-ub.rug.nl/login.aspx?direct=true&amp;db=psyh&amp;AN=2019-46723-012&amp;site=ehost-live&amp;scope=site" TargetMode="External"/><Relationship Id="rId282" Type="http://schemas.openxmlformats.org/officeDocument/2006/relationships/hyperlink" Target="http://search.ebscohost.com.proxy-ub.rug.nl/login.aspx?direct=true&amp;db=psyh&amp;AN=2007-09923-004&amp;site=ehost-live&amp;scope=site" TargetMode="External"/><Relationship Id="rId338" Type="http://schemas.openxmlformats.org/officeDocument/2006/relationships/hyperlink" Target="http://search.ebscohost.com.proxy-ub.rug.nl/login.aspx?direct=true&amp;db=psyh&amp;AN=2013-35572-014&amp;site=ehost-live&amp;scope=site" TargetMode="External"/><Relationship Id="rId8" Type="http://schemas.openxmlformats.org/officeDocument/2006/relationships/hyperlink" Target="http://search.ebscohost.com.proxy-ub.rug.nl/login.aspx?direct=true&amp;db=psyh&amp;AN=2015-46519-001&amp;site=ehost-live&amp;scope=site" TargetMode="External"/><Relationship Id="rId142" Type="http://schemas.openxmlformats.org/officeDocument/2006/relationships/hyperlink" Target="http://search.ebscohost.com.proxy-ub.rug.nl/login.aspx?direct=true&amp;db=psyh&amp;AN=2011-27026-006&amp;site=ehost-live&amp;scope=site" TargetMode="External"/><Relationship Id="rId184" Type="http://schemas.openxmlformats.org/officeDocument/2006/relationships/hyperlink" Target="http://search.ebscohost.com.proxy-ub.rug.nl/login.aspx?direct=true&amp;db=psyh&amp;AN=2011-06426-002&amp;site=ehost-live&amp;scope=site" TargetMode="External"/><Relationship Id="rId391" Type="http://schemas.openxmlformats.org/officeDocument/2006/relationships/hyperlink" Target="http://search.ebscohost.com.proxy-ub.rug.nl/login.aspx?direct=true&amp;db=psyh&amp;AN=2009-03488-008&amp;site=ehost-live&amp;scope=site" TargetMode="External"/><Relationship Id="rId405" Type="http://schemas.openxmlformats.org/officeDocument/2006/relationships/hyperlink" Target="http://search.ebscohost.com.proxy-ub.rug.nl/login.aspx?direct=true&amp;db=psyh&amp;AN=1989-01192-001&amp;site=ehost-live&amp;scope=site" TargetMode="External"/><Relationship Id="rId447" Type="http://schemas.openxmlformats.org/officeDocument/2006/relationships/hyperlink" Target="http://search.ebscohost.com.proxy-ub.rug.nl/login.aspx?direct=true&amp;db=psyh&amp;AN=2003-08705-001&amp;site=ehost-live&amp;scope=site" TargetMode="External"/><Relationship Id="rId251" Type="http://schemas.openxmlformats.org/officeDocument/2006/relationships/hyperlink" Target="http://search.ebscohost.com.proxy-ub.rug.nl/login.aspx?direct=true&amp;db=psyh&amp;AN=2013-14543-016&amp;site=ehost-live&amp;scope=site" TargetMode="External"/><Relationship Id="rId46" Type="http://schemas.openxmlformats.org/officeDocument/2006/relationships/hyperlink" Target="http://search.ebscohost.com.proxy-ub.rug.nl/login.aspx?direct=true&amp;db=psyh&amp;AN=1998-04296-008&amp;site=ehost-live&amp;scope=site" TargetMode="External"/><Relationship Id="rId293" Type="http://schemas.openxmlformats.org/officeDocument/2006/relationships/hyperlink" Target="http://search.ebscohost.com.proxy-ub.rug.nl/login.aspx?direct=true&amp;db=psyh&amp;AN=2011-01511-004&amp;site=ehost-live&amp;scope=site" TargetMode="External"/><Relationship Id="rId307" Type="http://schemas.openxmlformats.org/officeDocument/2006/relationships/hyperlink" Target="http://search.ebscohost.com.proxy-ub.rug.nl/login.aspx?direct=true&amp;db=psyh&amp;AN=2011-08880-008&amp;site=ehost-live&amp;scope=site" TargetMode="External"/><Relationship Id="rId349" Type="http://schemas.openxmlformats.org/officeDocument/2006/relationships/hyperlink" Target="http://search.ebscohost.com.proxy-ub.rug.nl/login.aspx?direct=true&amp;db=psyh&amp;AN=2014-22196-010&amp;site=ehost-live&amp;scope=site" TargetMode="External"/><Relationship Id="rId88" Type="http://schemas.openxmlformats.org/officeDocument/2006/relationships/hyperlink" Target="http://search.ebscohost.com.proxy-ub.rug.nl/login.aspx?direct=true&amp;db=psyh&amp;AN=2019-50498-004&amp;site=ehost-live&amp;scope=site" TargetMode="External"/><Relationship Id="rId111" Type="http://schemas.openxmlformats.org/officeDocument/2006/relationships/hyperlink" Target="http://search.ebscohost.com.proxy-ub.rug.nl/login.aspx?direct=true&amp;db=psyh&amp;AN=2013-26124-022&amp;site=ehost-live&amp;scope=site" TargetMode="External"/><Relationship Id="rId153" Type="http://schemas.openxmlformats.org/officeDocument/2006/relationships/hyperlink" Target="http://search.ebscohost.com.proxy-ub.rug.nl/login.aspx?direct=true&amp;db=psyh&amp;AN=2015-99040-403&amp;site=ehost-live&amp;scope=site" TargetMode="External"/><Relationship Id="rId195" Type="http://schemas.openxmlformats.org/officeDocument/2006/relationships/hyperlink" Target="http://search.ebscohost.com.proxy-ub.rug.nl/login.aspx?direct=true&amp;db=psyh&amp;AN=2013-13943-018&amp;site=ehost-live&amp;scope=site" TargetMode="External"/><Relationship Id="rId209" Type="http://schemas.openxmlformats.org/officeDocument/2006/relationships/hyperlink" Target="http://search.ebscohost.com.proxy-ub.rug.nl/login.aspx?direct=true&amp;db=psyh&amp;AN=2008-09745-005&amp;site=ehost-live&amp;scope=site" TargetMode="External"/><Relationship Id="rId360" Type="http://schemas.openxmlformats.org/officeDocument/2006/relationships/hyperlink" Target="http://search.ebscohost.com.proxy-ub.rug.nl/login.aspx?direct=true&amp;db=psyh&amp;AN=2010-99020-324&amp;site=ehost-live&amp;scope=site" TargetMode="External"/><Relationship Id="rId416" Type="http://schemas.openxmlformats.org/officeDocument/2006/relationships/hyperlink" Target="http://search.ebscohost.com.proxy-ub.rug.nl/login.aspx?direct=true&amp;db=psyh&amp;AN=2009-08488-017&amp;site=ehost-live&amp;scope=site" TargetMode="External"/><Relationship Id="rId220" Type="http://schemas.openxmlformats.org/officeDocument/2006/relationships/hyperlink" Target="http://search.ebscohost.com.proxy-ub.rug.nl/login.aspx?direct=true&amp;db=psyh&amp;AN=2005-05540-003&amp;site=ehost-live&amp;scope=site" TargetMode="External"/><Relationship Id="rId458" Type="http://schemas.openxmlformats.org/officeDocument/2006/relationships/hyperlink" Target="http://search.ebscohost.com.proxy-ub.rug.nl/login.aspx?direct=true&amp;db=psyh&amp;AN=2010-99220-342&amp;site=ehost-live&amp;scope=site" TargetMode="External"/><Relationship Id="rId15" Type="http://schemas.openxmlformats.org/officeDocument/2006/relationships/hyperlink" Target="http://search.ebscohost.com.proxy-ub.rug.nl/login.aspx?direct=true&amp;db=psyh&amp;AN=2019-21201-001&amp;site=ehost-live&amp;scope=site" TargetMode="External"/><Relationship Id="rId57" Type="http://schemas.openxmlformats.org/officeDocument/2006/relationships/hyperlink" Target="http://search.ebscohost.com.proxy-ub.rug.nl/login.aspx?direct=true&amp;db=psyh&amp;AN=2017-05715-037&amp;site=ehost-live&amp;scope=site" TargetMode="External"/><Relationship Id="rId262" Type="http://schemas.openxmlformats.org/officeDocument/2006/relationships/hyperlink" Target="http://search.ebscohost.com.proxy-ub.rug.nl/login.aspx?direct=true&amp;db=psyh&amp;AN=2001-06897-002&amp;site=ehost-live&amp;scope=site" TargetMode="External"/><Relationship Id="rId318" Type="http://schemas.openxmlformats.org/officeDocument/2006/relationships/hyperlink" Target="http://search.ebscohost.com.proxy-ub.rug.nl/login.aspx?direct=true&amp;db=psyh&amp;AN=2003-95016-070&amp;site=ehost-live&amp;scope=site" TargetMode="External"/><Relationship Id="rId99" Type="http://schemas.openxmlformats.org/officeDocument/2006/relationships/hyperlink" Target="http://search.ebscohost.com.proxy-ub.rug.nl/login.aspx?direct=true&amp;db=psyh&amp;AN=2014-23102-001&amp;site=ehost-live&amp;scope=site" TargetMode="External"/><Relationship Id="rId122" Type="http://schemas.openxmlformats.org/officeDocument/2006/relationships/hyperlink" Target="http://search.ebscohost.com.proxy-ub.rug.nl/login.aspx?direct=true&amp;db=psyh&amp;AN=2014-02425-004&amp;site=ehost-live&amp;scope=site" TargetMode="External"/><Relationship Id="rId164" Type="http://schemas.openxmlformats.org/officeDocument/2006/relationships/hyperlink" Target="http://search.ebscohost.com.proxy-ub.rug.nl/login.aspx?direct=true&amp;db=psyh&amp;AN=2011-28438-001&amp;site=ehost-live&amp;scope=site" TargetMode="External"/><Relationship Id="rId371" Type="http://schemas.openxmlformats.org/officeDocument/2006/relationships/hyperlink" Target="http://search.ebscohost.com.proxy-ub.rug.nl/login.aspx?direct=true&amp;db=psyh&amp;AN=2014-42797-008&amp;site=ehost-live&amp;scope=site" TargetMode="External"/><Relationship Id="rId427" Type="http://schemas.openxmlformats.org/officeDocument/2006/relationships/hyperlink" Target="http://search.ebscohost.com.proxy-ub.rug.nl/login.aspx?direct=true&amp;db=psyh&amp;AN=2012-14111-007&amp;site=ehost-live&amp;scope=site" TargetMode="External"/><Relationship Id="rId469" Type="http://schemas.openxmlformats.org/officeDocument/2006/relationships/hyperlink" Target="http://search.ebscohost.com.proxy-ub.rug.nl/login.aspx?direct=true&amp;db=psyh&amp;AN=1991-18534-001&amp;site=ehost-live&amp;scope=site" TargetMode="External"/><Relationship Id="rId26" Type="http://schemas.openxmlformats.org/officeDocument/2006/relationships/hyperlink" Target="http://search.ebscohost.com.proxy-ub.rug.nl/login.aspx?direct=true&amp;db=psyh&amp;AN=2018-40970-008&amp;site=ehost-live&amp;scope=site" TargetMode="External"/><Relationship Id="rId231" Type="http://schemas.openxmlformats.org/officeDocument/2006/relationships/hyperlink" Target="http://search.ebscohost.com.proxy-ub.rug.nl/login.aspx?direct=true&amp;db=psyh&amp;AN=2010-15511-002&amp;site=ehost-live&amp;scope=site" TargetMode="External"/><Relationship Id="rId273" Type="http://schemas.openxmlformats.org/officeDocument/2006/relationships/hyperlink" Target="http://search.ebscohost.com.proxy-ub.rug.nl/login.aspx?direct=true&amp;db=psyh&amp;AN=2017-26077-001&amp;site=ehost-live&amp;scope=site" TargetMode="External"/><Relationship Id="rId329" Type="http://schemas.openxmlformats.org/officeDocument/2006/relationships/hyperlink" Target="http://search.ebscohost.com.proxy-ub.rug.nl/login.aspx?direct=true&amp;db=psyh&amp;AN=2016-42418-006&amp;site=ehost-live&amp;scope=site" TargetMode="External"/><Relationship Id="rId68" Type="http://schemas.openxmlformats.org/officeDocument/2006/relationships/hyperlink" Target="http://search.ebscohost.com.proxy-ub.rug.nl/login.aspx?direct=true&amp;db=psyh&amp;AN=2016-38987-001&amp;site=ehost-live&amp;scope=site" TargetMode="External"/><Relationship Id="rId133" Type="http://schemas.openxmlformats.org/officeDocument/2006/relationships/hyperlink" Target="http://search.ebscohost.com.proxy-ub.rug.nl/login.aspx?direct=true&amp;db=psyh&amp;AN=2013-01834-001&amp;site=ehost-live&amp;scope=site" TargetMode="External"/><Relationship Id="rId175" Type="http://schemas.openxmlformats.org/officeDocument/2006/relationships/hyperlink" Target="http://search.ebscohost.com.proxy-ub.rug.nl/login.aspx?direct=true&amp;db=psyh&amp;AN=2014-04342-002&amp;site=ehost-live&amp;scope=site" TargetMode="External"/><Relationship Id="rId340" Type="http://schemas.openxmlformats.org/officeDocument/2006/relationships/hyperlink" Target="http://search.ebscohost.com.proxy-ub.rug.nl/login.aspx?direct=true&amp;db=psyh&amp;AN=1994-17168-001&amp;site=ehost-live&amp;scope=site" TargetMode="External"/><Relationship Id="rId200" Type="http://schemas.openxmlformats.org/officeDocument/2006/relationships/hyperlink" Target="http://search.ebscohost.com.proxy-ub.rug.nl/login.aspx?direct=true&amp;db=psyh&amp;AN=2011-23263-009&amp;site=ehost-live&amp;scope=site" TargetMode="External"/><Relationship Id="rId382" Type="http://schemas.openxmlformats.org/officeDocument/2006/relationships/hyperlink" Target="http://search.ebscohost.com.proxy-ub.rug.nl/login.aspx?direct=true&amp;db=psyh&amp;AN=2010-15737-021&amp;site=ehost-live&amp;scope=site" TargetMode="External"/><Relationship Id="rId438" Type="http://schemas.openxmlformats.org/officeDocument/2006/relationships/hyperlink" Target="http://search.ebscohost.com.proxy-ub.rug.nl/login.aspx?direct=true&amp;db=psyh&amp;AN=2007-20000-004&amp;site=ehost-live&amp;scope=site" TargetMode="External"/><Relationship Id="rId242" Type="http://schemas.openxmlformats.org/officeDocument/2006/relationships/hyperlink" Target="http://search.ebscohost.com.proxy-ub.rug.nl/login.aspx?direct=true&amp;db=psyh&amp;AN=2012-99100-510&amp;site=ehost-live&amp;scope=site" TargetMode="External"/><Relationship Id="rId284" Type="http://schemas.openxmlformats.org/officeDocument/2006/relationships/hyperlink" Target="http://search.ebscohost.com.proxy-ub.rug.nl/login.aspx?direct=true&amp;db=psyh&amp;AN=2004-16941-003&amp;site=ehost-live&amp;scope=site" TargetMode="External"/><Relationship Id="rId37" Type="http://schemas.openxmlformats.org/officeDocument/2006/relationships/hyperlink" Target="http://search.ebscohost.com.proxy-ub.rug.nl/login.aspx?direct=true&amp;db=psyh&amp;AN=2019-46352-054&amp;site=ehost-live&amp;scope=site" TargetMode="External"/><Relationship Id="rId79" Type="http://schemas.openxmlformats.org/officeDocument/2006/relationships/hyperlink" Target="http://search.ebscohost.com.proxy-ub.rug.nl/login.aspx?direct=true&amp;db=psyh&amp;AN=2019-31046-001&amp;site=ehost-live&amp;scope=site" TargetMode="External"/><Relationship Id="rId102" Type="http://schemas.openxmlformats.org/officeDocument/2006/relationships/hyperlink" Target="http://search.ebscohost.com.proxy-ub.rug.nl/login.aspx?direct=true&amp;db=psyh&amp;AN=2015-40018-003&amp;site=ehost-live&amp;scope=site" TargetMode="External"/><Relationship Id="rId144" Type="http://schemas.openxmlformats.org/officeDocument/2006/relationships/hyperlink" Target="http://search.ebscohost.com.proxy-ub.rug.nl/login.aspx?direct=true&amp;db=psyh&amp;AN=2013-14543-005&amp;site=ehost-live&amp;scope=site" TargetMode="External"/><Relationship Id="rId90" Type="http://schemas.openxmlformats.org/officeDocument/2006/relationships/hyperlink" Target="http://search.ebscohost.com.proxy-ub.rug.nl/login.aspx?direct=true&amp;db=psyh&amp;AN=2013-99020-022&amp;site=ehost-live&amp;scope=site" TargetMode="External"/><Relationship Id="rId186" Type="http://schemas.openxmlformats.org/officeDocument/2006/relationships/hyperlink" Target="http://search.ebscohost.com.proxy-ub.rug.nl/login.aspx?direct=true&amp;db=psyh&amp;AN=1998-00720-002&amp;site=ehost-live&amp;scope=site" TargetMode="External"/><Relationship Id="rId351" Type="http://schemas.openxmlformats.org/officeDocument/2006/relationships/hyperlink" Target="http://search.ebscohost.com.proxy-ub.rug.nl/login.aspx?direct=true&amp;db=psyh&amp;AN=2012-14332-002&amp;site=ehost-live&amp;scope=site" TargetMode="External"/><Relationship Id="rId393" Type="http://schemas.openxmlformats.org/officeDocument/2006/relationships/hyperlink" Target="http://search.ebscohost.com.proxy-ub.rug.nl/login.aspx?direct=true&amp;db=psyh&amp;AN=1980-05290-001&amp;site=ehost-live&amp;scope=site" TargetMode="External"/><Relationship Id="rId407" Type="http://schemas.openxmlformats.org/officeDocument/2006/relationships/hyperlink" Target="http://search.ebscohost.com.proxy-ub.rug.nl/login.aspx?direct=true&amp;db=psyh&amp;AN=2010-03912-024&amp;site=ehost-live&amp;scope=site" TargetMode="External"/><Relationship Id="rId449" Type="http://schemas.openxmlformats.org/officeDocument/2006/relationships/hyperlink" Target="http://search.ebscohost.com.proxy-ub.rug.nl/login.aspx?direct=true&amp;db=psyh&amp;AN=2006-05764-007&amp;site=ehost-live&amp;scope=site" TargetMode="External"/><Relationship Id="rId211" Type="http://schemas.openxmlformats.org/officeDocument/2006/relationships/hyperlink" Target="http://search.ebscohost.com.proxy-ub.rug.nl/login.aspx?direct=true&amp;db=psyh&amp;AN=2018-09131-036&amp;site=ehost-live&amp;scope=site" TargetMode="External"/><Relationship Id="rId253" Type="http://schemas.openxmlformats.org/officeDocument/2006/relationships/hyperlink" Target="http://search.ebscohost.com.proxy-ub.rug.nl/login.aspx?direct=true&amp;db=psyh&amp;AN=2002-12230-001&amp;site=ehost-live&amp;scope=site" TargetMode="External"/><Relationship Id="rId295" Type="http://schemas.openxmlformats.org/officeDocument/2006/relationships/hyperlink" Target="http://search.ebscohost.com.proxy-ub.rug.nl/login.aspx?direct=true&amp;db=psyh&amp;AN=2017-45231-006&amp;site=ehost-live&amp;scope=site" TargetMode="External"/><Relationship Id="rId309" Type="http://schemas.openxmlformats.org/officeDocument/2006/relationships/hyperlink" Target="http://search.ebscohost.com.proxy-ub.rug.nl/login.aspx?direct=true&amp;db=psyh&amp;AN=2013-34736-005&amp;site=ehost-live&amp;scope=site" TargetMode="External"/><Relationship Id="rId460" Type="http://schemas.openxmlformats.org/officeDocument/2006/relationships/hyperlink" Target="http://search.ebscohost.com.proxy-ub.rug.nl/login.aspx?direct=true&amp;db=psyh&amp;AN=2008-11641-005&amp;site=ehost-live&amp;scope=site" TargetMode="External"/><Relationship Id="rId48" Type="http://schemas.openxmlformats.org/officeDocument/2006/relationships/hyperlink" Target="http://search.ebscohost.com.proxy-ub.rug.nl/login.aspx?direct=true&amp;db=psyh&amp;AN=2018-21451-005&amp;site=ehost-live&amp;scope=site" TargetMode="External"/><Relationship Id="rId113" Type="http://schemas.openxmlformats.org/officeDocument/2006/relationships/hyperlink" Target="http://search.ebscohost.com.proxy-ub.rug.nl/login.aspx?direct=true&amp;db=psyh&amp;AN=1991-07086-001&amp;site=ehost-live&amp;scope=site" TargetMode="External"/><Relationship Id="rId320" Type="http://schemas.openxmlformats.org/officeDocument/2006/relationships/hyperlink" Target="http://search.ebscohost.com.proxy-ub.rug.nl/login.aspx?direct=true&amp;db=psyh&amp;AN=2016-08040-003&amp;site=ehost-live&amp;scope=site" TargetMode="External"/><Relationship Id="rId155" Type="http://schemas.openxmlformats.org/officeDocument/2006/relationships/hyperlink" Target="http://search.ebscohost.com.proxy-ub.rug.nl/login.aspx?direct=true&amp;db=psyh&amp;AN=2013-20274-003&amp;site=ehost-live&amp;scope=site" TargetMode="External"/><Relationship Id="rId197" Type="http://schemas.openxmlformats.org/officeDocument/2006/relationships/hyperlink" Target="http://search.ebscohost.com.proxy-ub.rug.nl/login.aspx?direct=true&amp;db=psyh&amp;AN=2010-07233-004&amp;site=ehost-live&amp;scope=site" TargetMode="External"/><Relationship Id="rId362" Type="http://schemas.openxmlformats.org/officeDocument/2006/relationships/hyperlink" Target="http://search.ebscohost.com.proxy-ub.rug.nl/login.aspx?direct=true&amp;db=psyh&amp;AN=2007-99017-560&amp;site=ehost-live&amp;scope=site" TargetMode="External"/><Relationship Id="rId418" Type="http://schemas.openxmlformats.org/officeDocument/2006/relationships/hyperlink" Target="http://search.ebscohost.com.proxy-ub.rug.nl/login.aspx?direct=true&amp;db=psyh&amp;AN=1998-11897-006&amp;site=ehost-live&amp;scope=site" TargetMode="External"/><Relationship Id="rId222" Type="http://schemas.openxmlformats.org/officeDocument/2006/relationships/hyperlink" Target="http://search.ebscohost.com.proxy-ub.rug.nl/login.aspx?direct=true&amp;db=psyh&amp;AN=2004-20182-005&amp;site=ehost-live&amp;scope=site" TargetMode="External"/><Relationship Id="rId264" Type="http://schemas.openxmlformats.org/officeDocument/2006/relationships/hyperlink" Target="http://search.ebscohost.com.proxy-ub.rug.nl/login.aspx?direct=true&amp;db=psyh&amp;AN=2004-17197-006&amp;site=ehost-live&amp;scope=site" TargetMode="External"/><Relationship Id="rId471" Type="http://schemas.openxmlformats.org/officeDocument/2006/relationships/hyperlink" Target="http://search.ebscohost.com.proxy-ub.rug.nl/login.aspx?direct=true&amp;db=psyh&amp;AN=2000-95019-063&amp;site=ehost-live&amp;scope=site" TargetMode="External"/><Relationship Id="rId17" Type="http://schemas.openxmlformats.org/officeDocument/2006/relationships/hyperlink" Target="http://search.ebscohost.com.proxy-ub.rug.nl/login.aspx?direct=true&amp;db=psyh&amp;AN=2019-26175-011&amp;site=ehost-live&amp;scope=site" TargetMode="External"/><Relationship Id="rId59" Type="http://schemas.openxmlformats.org/officeDocument/2006/relationships/hyperlink" Target="http://search.ebscohost.com.proxy-ub.rug.nl/login.aspx?direct=true&amp;db=psyh&amp;AN=2001-06529-005&amp;site=ehost-live&amp;scope=site" TargetMode="External"/><Relationship Id="rId124" Type="http://schemas.openxmlformats.org/officeDocument/2006/relationships/hyperlink" Target="http://search.ebscohost.com.proxy-ub.rug.nl/login.aspx?direct=true&amp;db=psyh&amp;AN=2015-54041-001&amp;site=ehost-live&amp;scope=site" TargetMode="External"/><Relationship Id="rId70" Type="http://schemas.openxmlformats.org/officeDocument/2006/relationships/hyperlink" Target="http://search.ebscohost.com.proxy-ub.rug.nl/login.aspx?direct=true&amp;db=psyh&amp;AN=2016-48846-001&amp;site=ehost-live&amp;scope=site" TargetMode="External"/><Relationship Id="rId166" Type="http://schemas.openxmlformats.org/officeDocument/2006/relationships/hyperlink" Target="http://search.ebscohost.com.proxy-ub.rug.nl/login.aspx?direct=true&amp;db=psyh&amp;AN=2011-25096-006&amp;site=ehost-live&amp;scope=site" TargetMode="External"/><Relationship Id="rId331" Type="http://schemas.openxmlformats.org/officeDocument/2006/relationships/hyperlink" Target="http://search.ebscohost.com.proxy-ub.rug.nl/login.aspx?direct=true&amp;db=psyh&amp;AN=2015-99170-378&amp;site=ehost-live&amp;scope=site" TargetMode="External"/><Relationship Id="rId373" Type="http://schemas.openxmlformats.org/officeDocument/2006/relationships/hyperlink" Target="http://search.ebscohost.com.proxy-ub.rug.nl/login.aspx?direct=true&amp;db=psyh&amp;AN=1980-20882-001&amp;site=ehost-live&amp;scope=site" TargetMode="External"/><Relationship Id="rId429" Type="http://schemas.openxmlformats.org/officeDocument/2006/relationships/hyperlink" Target="http://search.ebscohost.com.proxy-ub.rug.nl/login.aspx?direct=true&amp;db=psyh&amp;AN=2009-04187-007&amp;site=ehost-live&amp;scope=site" TargetMode="External"/><Relationship Id="rId1" Type="http://schemas.openxmlformats.org/officeDocument/2006/relationships/hyperlink" Target="http://search.ebscohost.com.proxy-ub.rug.nl/login.aspx?direct=true&amp;db=psyh&amp;AN=2019-17534-001&amp;site=ehost-live&amp;scope=site" TargetMode="External"/><Relationship Id="rId233" Type="http://schemas.openxmlformats.org/officeDocument/2006/relationships/hyperlink" Target="http://search.ebscohost.com.proxy-ub.rug.nl/login.aspx?direct=true&amp;db=psyh&amp;AN=2009-07063-003&amp;site=ehost-live&amp;scope=site" TargetMode="External"/><Relationship Id="rId440" Type="http://schemas.openxmlformats.org/officeDocument/2006/relationships/hyperlink" Target="http://search.ebscohost.com.proxy-ub.rug.nl/login.aspx?direct=true&amp;db=psyh&amp;AN=2004-16823-001&amp;site=ehost-live&amp;scope=site" TargetMode="External"/><Relationship Id="rId28" Type="http://schemas.openxmlformats.org/officeDocument/2006/relationships/hyperlink" Target="http://search.ebscohost.com.proxy-ub.rug.nl/login.aspx?direct=true&amp;db=psyh&amp;AN=2019-13663-007&amp;site=ehost-live&amp;scope=site" TargetMode="External"/><Relationship Id="rId275" Type="http://schemas.openxmlformats.org/officeDocument/2006/relationships/hyperlink" Target="http://search.ebscohost.com.proxy-ub.rug.nl/login.aspx?direct=true&amp;db=psyh&amp;AN=2010-02228-002&amp;site=ehost-live&amp;scope=site" TargetMode="External"/><Relationship Id="rId300" Type="http://schemas.openxmlformats.org/officeDocument/2006/relationships/hyperlink" Target="http://search.ebscohost.com.proxy-ub.rug.nl/login.aspx?direct=true&amp;db=psyh&amp;AN=2009-99010-056&amp;site=ehost-live&amp;scope=site" TargetMode="External"/><Relationship Id="rId81" Type="http://schemas.openxmlformats.org/officeDocument/2006/relationships/hyperlink" Target="http://search.ebscohost.com.proxy-ub.rug.nl/login.aspx?direct=true&amp;db=psyh&amp;AN=2011-07946-008&amp;site=ehost-live&amp;scope=site" TargetMode="External"/><Relationship Id="rId135" Type="http://schemas.openxmlformats.org/officeDocument/2006/relationships/hyperlink" Target="http://search.ebscohost.com.proxy-ub.rug.nl/login.aspx?direct=true&amp;db=psyh&amp;AN=2014-42566-003&amp;site=ehost-live&amp;scope=site" TargetMode="External"/><Relationship Id="rId177" Type="http://schemas.openxmlformats.org/officeDocument/2006/relationships/hyperlink" Target="http://search.ebscohost.com.proxy-ub.rug.nl/login.aspx?direct=true&amp;db=psyh&amp;AN=2006-02392-011&amp;site=ehost-live&amp;scope=site" TargetMode="External"/><Relationship Id="rId342" Type="http://schemas.openxmlformats.org/officeDocument/2006/relationships/hyperlink" Target="http://search.ebscohost.com.proxy-ub.rug.nl/login.aspx?direct=true&amp;db=psyh&amp;AN=2011-99100-477&amp;site=ehost-live&amp;scope=site" TargetMode="External"/><Relationship Id="rId384" Type="http://schemas.openxmlformats.org/officeDocument/2006/relationships/hyperlink" Target="http://search.ebscohost.com.proxy-ub.rug.nl/login.aspx?direct=true&amp;db=psyh&amp;AN=2013-35452-004&amp;site=ehost-live&amp;scope=site" TargetMode="External"/><Relationship Id="rId202" Type="http://schemas.openxmlformats.org/officeDocument/2006/relationships/hyperlink" Target="http://search.ebscohost.com.proxy-ub.rug.nl/login.aspx?direct=true&amp;db=psyh&amp;AN=2017-55844-006&amp;site=ehost-live&amp;scope=site" TargetMode="External"/><Relationship Id="rId244" Type="http://schemas.openxmlformats.org/officeDocument/2006/relationships/hyperlink" Target="http://search.ebscohost.com.proxy-ub.rug.nl/login.aspx?direct=true&amp;db=psyh&amp;AN=2007-10033-004&amp;site=ehost-live&amp;scope=site" TargetMode="External"/><Relationship Id="rId39" Type="http://schemas.openxmlformats.org/officeDocument/2006/relationships/hyperlink" Target="http://search.ebscohost.com.proxy-ub.rug.nl/login.aspx?direct=true&amp;db=psyh&amp;AN=2018-54188-006&amp;site=ehost-live&amp;scope=site" TargetMode="External"/><Relationship Id="rId286" Type="http://schemas.openxmlformats.org/officeDocument/2006/relationships/hyperlink" Target="http://search.ebscohost.com.proxy-ub.rug.nl/login.aspx?direct=true&amp;db=psyh&amp;AN=2006-05823-004&amp;site=ehost-live&amp;scope=site" TargetMode="External"/><Relationship Id="rId451" Type="http://schemas.openxmlformats.org/officeDocument/2006/relationships/hyperlink" Target="http://search.ebscohost.com.proxy-ub.rug.nl/login.aspx?direct=true&amp;db=psyh&amp;AN=2011-25096-005&amp;site=ehost-live&amp;scope=site" TargetMode="External"/><Relationship Id="rId50" Type="http://schemas.openxmlformats.org/officeDocument/2006/relationships/hyperlink" Target="http://search.ebscohost.com.proxy-ub.rug.nl/login.aspx?direct=true&amp;db=psyh&amp;AN=2018-22363-007&amp;site=ehost-live&amp;scope=site" TargetMode="External"/><Relationship Id="rId104" Type="http://schemas.openxmlformats.org/officeDocument/2006/relationships/hyperlink" Target="http://search.ebscohost.com.proxy-ub.rug.nl/login.aspx?direct=true&amp;db=psyh&amp;AN=2015-45495-008&amp;site=ehost-live&amp;scope=site" TargetMode="External"/><Relationship Id="rId146" Type="http://schemas.openxmlformats.org/officeDocument/2006/relationships/hyperlink" Target="http://search.ebscohost.com.proxy-ub.rug.nl/login.aspx?direct=true&amp;db=psyh&amp;AN=2009-17120-002&amp;site=ehost-live&amp;scope=site" TargetMode="External"/><Relationship Id="rId188" Type="http://schemas.openxmlformats.org/officeDocument/2006/relationships/hyperlink" Target="http://search.ebscohost.com.proxy-ub.rug.nl/login.aspx?direct=true&amp;db=psyh&amp;AN=2011-30443-001&amp;site=ehost-live&amp;scope=site" TargetMode="External"/><Relationship Id="rId311" Type="http://schemas.openxmlformats.org/officeDocument/2006/relationships/hyperlink" Target="http://search.ebscohost.com.proxy-ub.rug.nl/login.aspx?direct=true&amp;db=psyh&amp;AN=2001-95004-035&amp;site=ehost-live&amp;scope=site" TargetMode="External"/><Relationship Id="rId353" Type="http://schemas.openxmlformats.org/officeDocument/2006/relationships/hyperlink" Target="http://search.ebscohost.com.proxy-ub.rug.nl/login.aspx?direct=true&amp;db=psyh&amp;AN=2005-99017-061&amp;site=ehost-live&amp;scope=site" TargetMode="External"/><Relationship Id="rId395" Type="http://schemas.openxmlformats.org/officeDocument/2006/relationships/hyperlink" Target="http://search.ebscohost.com.proxy-ub.rug.nl/login.aspx?direct=true&amp;db=psyh&amp;AN=2006-22373-003&amp;site=ehost-live&amp;scope=site" TargetMode="External"/><Relationship Id="rId409" Type="http://schemas.openxmlformats.org/officeDocument/2006/relationships/hyperlink" Target="http://search.ebscohost.com.proxy-ub.rug.nl/login.aspx?direct=true&amp;db=psyh&amp;AN=2006-06614-013&amp;site=ehost-live&amp;scope=site" TargetMode="External"/><Relationship Id="rId92" Type="http://schemas.openxmlformats.org/officeDocument/2006/relationships/hyperlink" Target="http://search.ebscohost.com.proxy-ub.rug.nl/login.aspx?direct=true&amp;db=psyh&amp;AN=2019-49291-001&amp;site=ehost-live&amp;scope=site" TargetMode="External"/><Relationship Id="rId213" Type="http://schemas.openxmlformats.org/officeDocument/2006/relationships/hyperlink" Target="http://search.ebscohost.com.proxy-ub.rug.nl/login.aspx?direct=true&amp;db=psyh&amp;AN=2011-01094-015&amp;site=ehost-live&amp;scope=site" TargetMode="External"/><Relationship Id="rId420" Type="http://schemas.openxmlformats.org/officeDocument/2006/relationships/hyperlink" Target="http://search.ebscohost.com.proxy-ub.rug.nl/login.aspx?direct=true&amp;db=psyh&amp;AN=2000-02323-005&amp;site=ehost-live&amp;scope=site" TargetMode="External"/><Relationship Id="rId255" Type="http://schemas.openxmlformats.org/officeDocument/2006/relationships/hyperlink" Target="http://search.ebscohost.com.proxy-ub.rug.nl/login.aspx?direct=true&amp;db=psyh&amp;AN=2011-99070-428&amp;site=ehost-live&amp;scope=site" TargetMode="External"/><Relationship Id="rId297" Type="http://schemas.openxmlformats.org/officeDocument/2006/relationships/hyperlink" Target="http://search.ebscohost.com.proxy-ub.rug.nl/login.aspx?direct=true&amp;db=psyh&amp;AN=2009-99180-387&amp;site=ehost-live&amp;scope=site" TargetMode="External"/><Relationship Id="rId462" Type="http://schemas.openxmlformats.org/officeDocument/2006/relationships/hyperlink" Target="http://search.ebscohost.com.proxy-ub.rug.nl/login.aspx?direct=true&amp;db=psyh&amp;AN=2000-95001-088&amp;site=ehost-live&amp;scope=site" TargetMode="External"/><Relationship Id="rId115" Type="http://schemas.openxmlformats.org/officeDocument/2006/relationships/hyperlink" Target="http://search.ebscohost.com.proxy-ub.rug.nl/login.aspx?direct=true&amp;db=psyh&amp;AN=2019-12933-009&amp;site=ehost-live&amp;scope=site" TargetMode="External"/><Relationship Id="rId157" Type="http://schemas.openxmlformats.org/officeDocument/2006/relationships/hyperlink" Target="http://search.ebscohost.com.proxy-ub.rug.nl/login.aspx?direct=true&amp;db=psyh&amp;AN=2013-32535-001&amp;site=ehost-live&amp;scope=site" TargetMode="External"/><Relationship Id="rId322" Type="http://schemas.openxmlformats.org/officeDocument/2006/relationships/hyperlink" Target="http://search.ebscohost.com.proxy-ub.rug.nl/login.aspx?direct=true&amp;db=psyh&amp;AN=2014-51881-004&amp;site=ehost-live&amp;scope=site" TargetMode="External"/><Relationship Id="rId364" Type="http://schemas.openxmlformats.org/officeDocument/2006/relationships/hyperlink" Target="http://search.ebscohost.com.proxy-ub.rug.nl/login.aspx?direct=true&amp;db=psyh&amp;AN=2000-95006-366&amp;site=ehost-live&amp;scope=site" TargetMode="External"/><Relationship Id="rId61" Type="http://schemas.openxmlformats.org/officeDocument/2006/relationships/hyperlink" Target="http://search.ebscohost.com.proxy-ub.rug.nl/login.aspx?direct=true&amp;db=psyh&amp;AN=2012-99160-028&amp;site=ehost-live&amp;scope=site" TargetMode="External"/><Relationship Id="rId199" Type="http://schemas.openxmlformats.org/officeDocument/2006/relationships/hyperlink" Target="http://search.ebscohost.com.proxy-ub.rug.nl/login.aspx?direct=true&amp;db=psyh&amp;AN=2010-11457-005&amp;site=ehost-live&amp;scope=site" TargetMode="External"/><Relationship Id="rId19" Type="http://schemas.openxmlformats.org/officeDocument/2006/relationships/hyperlink" Target="http://search.ebscohost.com.proxy-ub.rug.nl/login.aspx?direct=true&amp;db=psyh&amp;AN=2019-11450-004&amp;site=ehost-live&amp;scope=site" TargetMode="External"/><Relationship Id="rId224" Type="http://schemas.openxmlformats.org/officeDocument/2006/relationships/hyperlink" Target="http://search.ebscohost.com.proxy-ub.rug.nl/login.aspx?direct=true&amp;db=psyh&amp;AN=2002-13162-003&amp;site=ehost-live&amp;scope=site" TargetMode="External"/><Relationship Id="rId266" Type="http://schemas.openxmlformats.org/officeDocument/2006/relationships/hyperlink" Target="http://search.ebscohost.com.proxy-ub.rug.nl/login.aspx?direct=true&amp;db=psyh&amp;AN=2004-17923-007&amp;site=ehost-live&amp;scope=site" TargetMode="External"/><Relationship Id="rId431" Type="http://schemas.openxmlformats.org/officeDocument/2006/relationships/hyperlink" Target="http://search.ebscohost.com.proxy-ub.rug.nl/login.aspx?direct=true&amp;db=psyh&amp;AN=2005-07199-001&amp;site=ehost-live&amp;scope=site" TargetMode="External"/><Relationship Id="rId473" Type="http://schemas.openxmlformats.org/officeDocument/2006/relationships/hyperlink" Target="http://search.ebscohost.com.proxy-ub.rug.nl/login.aspx?direct=true&amp;db=psyh&amp;AN=1977-08090-001&amp;site=ehost-live&amp;scope=site" TargetMode="External"/><Relationship Id="rId30" Type="http://schemas.openxmlformats.org/officeDocument/2006/relationships/hyperlink" Target="http://search.ebscohost.com.proxy-ub.rug.nl/login.aspx?direct=true&amp;db=psyh&amp;AN=2018-47447-007&amp;site=ehost-live&amp;scope=site" TargetMode="External"/><Relationship Id="rId126" Type="http://schemas.openxmlformats.org/officeDocument/2006/relationships/hyperlink" Target="http://search.ebscohost.com.proxy-ub.rug.nl/login.aspx?direct=true&amp;db=psyh&amp;AN=2004-11956-004&amp;site=ehost-live&amp;scope=site" TargetMode="External"/><Relationship Id="rId168" Type="http://schemas.openxmlformats.org/officeDocument/2006/relationships/hyperlink" Target="http://search.ebscohost.com.proxy-ub.rug.nl/login.aspx?direct=true&amp;db=psyh&amp;AN=2012-14108-001&amp;site=ehost-live&amp;scope=site" TargetMode="External"/><Relationship Id="rId333" Type="http://schemas.openxmlformats.org/officeDocument/2006/relationships/hyperlink" Target="http://search.ebscohost.com.proxy-ub.rug.nl/login.aspx?direct=true&amp;db=psyh&amp;AN=2016-16219-008&amp;site=ehost-live&amp;scope=si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W1623"/>
  <sheetViews>
    <sheetView tabSelected="1" workbookViewId="0">
      <pane ySplit="1" topLeftCell="A1104" activePane="bottomLeft" state="frozen"/>
      <selection pane="bottomLeft" activeCell="H1624" sqref="H1624"/>
    </sheetView>
  </sheetViews>
  <sheetFormatPr baseColWidth="10" defaultRowHeight="16"/>
  <cols>
    <col min="2" max="2" width="13.5" customWidth="1"/>
    <col min="3" max="3" width="13.5" style="2" customWidth="1"/>
    <col min="4" max="13" width="13.5" customWidth="1"/>
    <col min="14" max="14" width="13.5" style="2" customWidth="1"/>
    <col min="15" max="256" width="13.5" customWidth="1"/>
  </cols>
  <sheetData>
    <row r="1" spans="1:27">
      <c r="A1" t="s">
        <v>9938</v>
      </c>
      <c r="B1" t="s">
        <v>8372</v>
      </c>
      <c r="C1" s="2" t="s">
        <v>8333</v>
      </c>
      <c r="D1" t="s">
        <v>0</v>
      </c>
      <c r="E1" t="s">
        <v>8363</v>
      </c>
      <c r="F1" t="s">
        <v>8371</v>
      </c>
      <c r="G1" t="s">
        <v>8364</v>
      </c>
      <c r="H1" t="s">
        <v>9</v>
      </c>
      <c r="I1" t="s">
        <v>9936</v>
      </c>
      <c r="J1" t="s">
        <v>9937</v>
      </c>
      <c r="K1" t="s">
        <v>8365</v>
      </c>
      <c r="L1" t="s">
        <v>2</v>
      </c>
      <c r="M1" t="s">
        <v>1</v>
      </c>
      <c r="N1" s="2" t="s">
        <v>8366</v>
      </c>
      <c r="O1" t="s">
        <v>3</v>
      </c>
      <c r="P1" t="s">
        <v>4</v>
      </c>
      <c r="Q1" t="s">
        <v>8367</v>
      </c>
      <c r="R1" t="s">
        <v>8368</v>
      </c>
      <c r="S1" t="s">
        <v>8369</v>
      </c>
      <c r="T1" t="s">
        <v>5</v>
      </c>
      <c r="U1" t="s">
        <v>6</v>
      </c>
      <c r="V1" t="s">
        <v>7</v>
      </c>
      <c r="W1" t="s">
        <v>8</v>
      </c>
      <c r="X1" t="s">
        <v>8370</v>
      </c>
      <c r="Y1" t="s">
        <v>9941</v>
      </c>
      <c r="Z1" t="s">
        <v>9936</v>
      </c>
      <c r="AA1" t="s">
        <v>9937</v>
      </c>
    </row>
    <row r="2" spans="1:27" hidden="1">
      <c r="A2" s="11" t="s">
        <v>9939</v>
      </c>
      <c r="B2" t="s">
        <v>16</v>
      </c>
      <c r="C2" s="2" t="s">
        <v>8334</v>
      </c>
      <c r="D2" t="s">
        <v>11</v>
      </c>
      <c r="E2" t="s">
        <v>10</v>
      </c>
      <c r="H2" t="s">
        <v>18</v>
      </c>
      <c r="K2" t="s">
        <v>12</v>
      </c>
      <c r="M2" t="str">
        <f>"10126902"</f>
        <v>10126902</v>
      </c>
      <c r="N2" s="2" t="str">
        <f>"20141201"</f>
        <v>20141201</v>
      </c>
      <c r="O2">
        <v>49</v>
      </c>
      <c r="P2">
        <v>6</v>
      </c>
      <c r="Q2">
        <v>707</v>
      </c>
      <c r="R2">
        <v>21</v>
      </c>
      <c r="S2" t="s">
        <v>13</v>
      </c>
      <c r="T2" t="s">
        <v>14</v>
      </c>
      <c r="U2" t="s">
        <v>15</v>
      </c>
      <c r="V2" t="s">
        <v>17</v>
      </c>
      <c r="X2" t="s">
        <v>19</v>
      </c>
      <c r="Y2" t="b">
        <f t="shared" ref="Y2:Y65" si="0">COUNTIF(X:X, X2)&gt;1</f>
        <v>1</v>
      </c>
    </row>
    <row r="3" spans="1:27">
      <c r="A3" s="11" t="s">
        <v>9939</v>
      </c>
      <c r="B3" t="s">
        <v>16</v>
      </c>
      <c r="C3" s="2" t="s">
        <v>8335</v>
      </c>
      <c r="D3" t="s">
        <v>21</v>
      </c>
      <c r="E3" t="s">
        <v>20</v>
      </c>
      <c r="F3">
        <v>1</v>
      </c>
      <c r="H3" t="s">
        <v>27</v>
      </c>
      <c r="I3">
        <v>1</v>
      </c>
      <c r="K3" t="s">
        <v>22</v>
      </c>
      <c r="M3" t="str">
        <f>"00223018"</f>
        <v>00223018</v>
      </c>
      <c r="N3" s="2" t="str">
        <f>"20040801"</f>
        <v>20040801</v>
      </c>
      <c r="O3">
        <v>192</v>
      </c>
      <c r="P3">
        <v>8</v>
      </c>
      <c r="Q3">
        <v>532</v>
      </c>
      <c r="R3">
        <v>10</v>
      </c>
      <c r="S3" t="s">
        <v>23</v>
      </c>
      <c r="T3" t="s">
        <v>24</v>
      </c>
      <c r="U3" t="s">
        <v>25</v>
      </c>
      <c r="V3" t="s">
        <v>26</v>
      </c>
      <c r="X3" t="s">
        <v>28</v>
      </c>
      <c r="Y3" t="b">
        <f t="shared" si="0"/>
        <v>0</v>
      </c>
    </row>
    <row r="4" spans="1:27">
      <c r="A4" s="11" t="s">
        <v>9939</v>
      </c>
      <c r="B4" t="s">
        <v>16</v>
      </c>
      <c r="C4" s="2" t="s">
        <v>8336</v>
      </c>
      <c r="D4" t="s">
        <v>30</v>
      </c>
      <c r="E4" t="s">
        <v>29</v>
      </c>
      <c r="F4">
        <v>1</v>
      </c>
      <c r="H4" t="s">
        <v>36</v>
      </c>
      <c r="I4">
        <v>1</v>
      </c>
      <c r="K4" t="s">
        <v>31</v>
      </c>
      <c r="M4" t="str">
        <f>"08904065"</f>
        <v>08904065</v>
      </c>
      <c r="N4" s="2" t="str">
        <f>"20070801"</f>
        <v>20070801</v>
      </c>
      <c r="O4">
        <v>21</v>
      </c>
      <c r="P4">
        <v>3</v>
      </c>
      <c r="Q4">
        <v>267</v>
      </c>
      <c r="R4">
        <v>9</v>
      </c>
      <c r="S4" t="s">
        <v>32</v>
      </c>
      <c r="T4" t="s">
        <v>33</v>
      </c>
      <c r="U4" t="s">
        <v>34</v>
      </c>
      <c r="V4" t="s">
        <v>35</v>
      </c>
      <c r="X4" t="s">
        <v>37</v>
      </c>
      <c r="Y4" t="b">
        <f t="shared" si="0"/>
        <v>0</v>
      </c>
    </row>
    <row r="5" spans="1:27" hidden="1">
      <c r="A5" s="11" t="s">
        <v>9939</v>
      </c>
      <c r="B5" t="s">
        <v>16</v>
      </c>
      <c r="C5" s="2" t="s">
        <v>8337</v>
      </c>
      <c r="D5" t="s">
        <v>39</v>
      </c>
      <c r="E5" t="s">
        <v>38</v>
      </c>
      <c r="F5">
        <v>0</v>
      </c>
      <c r="G5" t="s">
        <v>9178</v>
      </c>
      <c r="H5" t="s">
        <v>44</v>
      </c>
      <c r="K5" t="s">
        <v>40</v>
      </c>
      <c r="M5" t="str">
        <f>"15571912"</f>
        <v>15571912</v>
      </c>
      <c r="N5" s="2" t="str">
        <f>"20131201"</f>
        <v>20131201</v>
      </c>
      <c r="O5">
        <v>15</v>
      </c>
      <c r="P5">
        <v>6</v>
      </c>
      <c r="Q5">
        <v>1073</v>
      </c>
      <c r="R5">
        <v>9</v>
      </c>
      <c r="S5" t="s">
        <v>41</v>
      </c>
      <c r="U5" t="s">
        <v>42</v>
      </c>
      <c r="V5" t="s">
        <v>43</v>
      </c>
      <c r="X5" t="s">
        <v>45</v>
      </c>
      <c r="Y5" t="b">
        <f t="shared" si="0"/>
        <v>0</v>
      </c>
    </row>
    <row r="6" spans="1:27" hidden="1">
      <c r="A6" s="11" t="s">
        <v>9939</v>
      </c>
      <c r="B6" t="s">
        <v>16</v>
      </c>
      <c r="C6" s="2" t="s">
        <v>8338</v>
      </c>
      <c r="D6" t="s">
        <v>47</v>
      </c>
      <c r="E6" t="s">
        <v>46</v>
      </c>
      <c r="F6">
        <v>0</v>
      </c>
      <c r="G6" t="s">
        <v>9178</v>
      </c>
      <c r="H6" t="s">
        <v>52</v>
      </c>
      <c r="K6" t="s">
        <v>48</v>
      </c>
      <c r="M6" t="str">
        <f>"07399863"</f>
        <v>07399863</v>
      </c>
      <c r="N6" s="2" t="str">
        <f>"20060801"</f>
        <v>20060801</v>
      </c>
      <c r="O6">
        <v>28</v>
      </c>
      <c r="P6">
        <v>3</v>
      </c>
      <c r="Q6">
        <v>450</v>
      </c>
      <c r="R6">
        <v>14</v>
      </c>
      <c r="S6" t="s">
        <v>49</v>
      </c>
      <c r="T6" t="s">
        <v>50</v>
      </c>
      <c r="U6" t="s">
        <v>15</v>
      </c>
      <c r="V6" t="s">
        <v>51</v>
      </c>
      <c r="X6" t="s">
        <v>53</v>
      </c>
      <c r="Y6" t="b">
        <f t="shared" si="0"/>
        <v>0</v>
      </c>
    </row>
    <row r="7" spans="1:27" hidden="1">
      <c r="A7" s="11" t="s">
        <v>9939</v>
      </c>
      <c r="B7" t="s">
        <v>16</v>
      </c>
      <c r="C7" s="2" t="s">
        <v>8338</v>
      </c>
      <c r="D7" t="s">
        <v>55</v>
      </c>
      <c r="E7" t="s">
        <v>54</v>
      </c>
      <c r="F7">
        <v>0</v>
      </c>
      <c r="G7" t="s">
        <v>9178</v>
      </c>
      <c r="H7" t="s">
        <v>61</v>
      </c>
      <c r="K7" t="s">
        <v>56</v>
      </c>
      <c r="M7" t="str">
        <f>"0022006X"</f>
        <v>0022006X</v>
      </c>
      <c r="N7" s="2" t="str">
        <f>"20060801"</f>
        <v>20060801</v>
      </c>
      <c r="O7">
        <v>74</v>
      </c>
      <c r="P7">
        <v>4</v>
      </c>
      <c r="Q7">
        <v>755</v>
      </c>
      <c r="R7">
        <v>12</v>
      </c>
      <c r="S7" t="s">
        <v>57</v>
      </c>
      <c r="T7" t="s">
        <v>58</v>
      </c>
      <c r="U7" t="s">
        <v>59</v>
      </c>
      <c r="V7" t="s">
        <v>60</v>
      </c>
      <c r="X7" t="s">
        <v>62</v>
      </c>
      <c r="Y7" t="b">
        <f t="shared" si="0"/>
        <v>0</v>
      </c>
    </row>
    <row r="8" spans="1:27" hidden="1">
      <c r="A8" s="11" t="s">
        <v>9939</v>
      </c>
      <c r="B8" t="s">
        <v>69</v>
      </c>
      <c r="C8" s="2" t="s">
        <v>8339</v>
      </c>
      <c r="D8" t="s">
        <v>64</v>
      </c>
      <c r="E8" t="s">
        <v>63</v>
      </c>
      <c r="F8">
        <v>0</v>
      </c>
      <c r="G8" t="s">
        <v>9178</v>
      </c>
      <c r="H8" t="s">
        <v>71</v>
      </c>
      <c r="K8" t="s">
        <v>65</v>
      </c>
      <c r="L8" t="str">
        <f>"9781321219838"</f>
        <v>9781321219838</v>
      </c>
      <c r="M8" t="str">
        <f>"04194209"</f>
        <v>04194209</v>
      </c>
      <c r="N8" s="2" t="str">
        <f>"20150101"</f>
        <v>20150101</v>
      </c>
      <c r="O8">
        <v>76</v>
      </c>
      <c r="P8" t="s">
        <v>66</v>
      </c>
      <c r="S8" t="s">
        <v>67</v>
      </c>
      <c r="U8" t="s">
        <v>68</v>
      </c>
      <c r="V8" t="s">
        <v>70</v>
      </c>
      <c r="X8" t="s">
        <v>72</v>
      </c>
      <c r="Y8" t="b">
        <f t="shared" si="0"/>
        <v>0</v>
      </c>
    </row>
    <row r="9" spans="1:27" hidden="1">
      <c r="A9" s="11" t="s">
        <v>9939</v>
      </c>
      <c r="B9" t="s">
        <v>16</v>
      </c>
      <c r="C9" s="2" t="s">
        <v>8337</v>
      </c>
      <c r="D9" t="s">
        <v>74</v>
      </c>
      <c r="E9" t="s">
        <v>73</v>
      </c>
      <c r="F9">
        <v>0</v>
      </c>
      <c r="G9" t="s">
        <v>9237</v>
      </c>
      <c r="H9" t="s">
        <v>80</v>
      </c>
      <c r="K9" t="s">
        <v>75</v>
      </c>
      <c r="M9" t="str">
        <f>"02651335"</f>
        <v>02651335</v>
      </c>
      <c r="N9" s="2" t="str">
        <f>"20130101"</f>
        <v>20130101</v>
      </c>
      <c r="O9">
        <v>30</v>
      </c>
      <c r="P9">
        <v>5</v>
      </c>
      <c r="Q9">
        <v>418</v>
      </c>
      <c r="R9">
        <v>22</v>
      </c>
      <c r="S9" t="s">
        <v>76</v>
      </c>
      <c r="T9" t="s">
        <v>77</v>
      </c>
      <c r="U9" t="s">
        <v>78</v>
      </c>
      <c r="V9" t="s">
        <v>79</v>
      </c>
      <c r="X9" t="s">
        <v>81</v>
      </c>
      <c r="Y9" t="b">
        <f t="shared" si="0"/>
        <v>0</v>
      </c>
    </row>
    <row r="10" spans="1:27">
      <c r="A10" s="11" t="s">
        <v>9939</v>
      </c>
      <c r="B10" t="s">
        <v>16</v>
      </c>
      <c r="C10" s="2" t="s">
        <v>8340</v>
      </c>
      <c r="D10" t="s">
        <v>83</v>
      </c>
      <c r="E10" t="s">
        <v>82</v>
      </c>
      <c r="F10">
        <v>1</v>
      </c>
      <c r="H10" t="s">
        <v>89</v>
      </c>
      <c r="I10">
        <v>1</v>
      </c>
      <c r="K10" t="s">
        <v>84</v>
      </c>
      <c r="M10" t="str">
        <f>"13607863"</f>
        <v>13607863</v>
      </c>
      <c r="N10" s="2" t="str">
        <f>"20181101"</f>
        <v>20181101</v>
      </c>
      <c r="O10">
        <v>22</v>
      </c>
      <c r="P10">
        <v>11</v>
      </c>
      <c r="Q10">
        <v>1448</v>
      </c>
      <c r="R10">
        <v>8</v>
      </c>
      <c r="S10" t="s">
        <v>85</v>
      </c>
      <c r="T10" t="s">
        <v>86</v>
      </c>
      <c r="U10" t="s">
        <v>87</v>
      </c>
      <c r="V10" t="s">
        <v>88</v>
      </c>
      <c r="X10" t="s">
        <v>90</v>
      </c>
      <c r="Y10" t="b">
        <f t="shared" si="0"/>
        <v>0</v>
      </c>
    </row>
    <row r="11" spans="1:27" hidden="1">
      <c r="A11" s="11" t="s">
        <v>9939</v>
      </c>
      <c r="B11" t="s">
        <v>16</v>
      </c>
      <c r="C11" s="2" t="s">
        <v>8341</v>
      </c>
      <c r="D11" t="s">
        <v>92</v>
      </c>
      <c r="E11" t="s">
        <v>91</v>
      </c>
      <c r="F11">
        <v>0</v>
      </c>
      <c r="G11" t="s">
        <v>9237</v>
      </c>
      <c r="H11" t="s">
        <v>97</v>
      </c>
      <c r="K11" t="s">
        <v>93</v>
      </c>
      <c r="M11" t="str">
        <f>"00207640"</f>
        <v>00207640</v>
      </c>
      <c r="N11" s="2" t="str">
        <f>"20091101"</f>
        <v>20091101</v>
      </c>
      <c r="O11">
        <v>55</v>
      </c>
      <c r="P11">
        <v>6</v>
      </c>
      <c r="Q11">
        <v>496</v>
      </c>
      <c r="R11">
        <v>10</v>
      </c>
      <c r="S11" t="s">
        <v>94</v>
      </c>
      <c r="T11" t="s">
        <v>95</v>
      </c>
      <c r="U11" t="s">
        <v>15</v>
      </c>
      <c r="V11" t="s">
        <v>96</v>
      </c>
      <c r="X11" t="s">
        <v>98</v>
      </c>
      <c r="Y11" t="b">
        <f t="shared" si="0"/>
        <v>0</v>
      </c>
    </row>
    <row r="12" spans="1:27" hidden="1">
      <c r="A12" s="11" t="s">
        <v>9939</v>
      </c>
      <c r="B12" t="s">
        <v>69</v>
      </c>
      <c r="C12" s="2" t="s">
        <v>8342</v>
      </c>
      <c r="D12" t="s">
        <v>100</v>
      </c>
      <c r="E12" t="s">
        <v>99</v>
      </c>
      <c r="H12" t="s">
        <v>105</v>
      </c>
      <c r="K12" t="s">
        <v>101</v>
      </c>
      <c r="L12" t="str">
        <f>"9781124980188"</f>
        <v>9781124980188</v>
      </c>
      <c r="M12" t="str">
        <f>"04194217"</f>
        <v>04194217</v>
      </c>
      <c r="N12" s="2" t="str">
        <f>"20120101"</f>
        <v>20120101</v>
      </c>
      <c r="O12">
        <v>73</v>
      </c>
      <c r="P12" t="s">
        <v>102</v>
      </c>
      <c r="Q12">
        <v>1268</v>
      </c>
      <c r="R12">
        <v>1</v>
      </c>
      <c r="S12" t="s">
        <v>103</v>
      </c>
      <c r="U12" t="s">
        <v>68</v>
      </c>
      <c r="V12" t="s">
        <v>104</v>
      </c>
      <c r="X12" t="s">
        <v>106</v>
      </c>
      <c r="Y12" t="b">
        <f t="shared" si="0"/>
        <v>1</v>
      </c>
    </row>
    <row r="13" spans="1:27" hidden="1">
      <c r="A13" s="11" t="s">
        <v>9939</v>
      </c>
      <c r="B13" t="s">
        <v>16</v>
      </c>
      <c r="C13" s="2" t="s">
        <v>8340</v>
      </c>
      <c r="D13" t="s">
        <v>108</v>
      </c>
      <c r="E13" t="s">
        <v>107</v>
      </c>
      <c r="F13">
        <v>0</v>
      </c>
      <c r="G13" t="s">
        <v>9237</v>
      </c>
      <c r="H13" t="s">
        <v>113</v>
      </c>
      <c r="K13" t="s">
        <v>109</v>
      </c>
      <c r="M13" t="str">
        <f>"10943412"</f>
        <v>10943412</v>
      </c>
      <c r="N13" s="2" t="str">
        <f>"20180701"</f>
        <v>20180701</v>
      </c>
      <c r="O13">
        <v>45</v>
      </c>
      <c r="P13">
        <v>3</v>
      </c>
      <c r="Q13">
        <v>389</v>
      </c>
      <c r="R13">
        <v>32</v>
      </c>
      <c r="S13" t="s">
        <v>110</v>
      </c>
      <c r="T13" t="s">
        <v>111</v>
      </c>
      <c r="U13" t="s">
        <v>42</v>
      </c>
      <c r="V13" t="s">
        <v>112</v>
      </c>
      <c r="X13" t="s">
        <v>114</v>
      </c>
      <c r="Y13" t="b">
        <f t="shared" si="0"/>
        <v>0</v>
      </c>
    </row>
    <row r="14" spans="1:27">
      <c r="A14" s="11" t="s">
        <v>9939</v>
      </c>
      <c r="B14" t="s">
        <v>16</v>
      </c>
      <c r="C14" s="2" t="s">
        <v>8343</v>
      </c>
      <c r="D14" t="s">
        <v>116</v>
      </c>
      <c r="E14" t="s">
        <v>115</v>
      </c>
      <c r="F14">
        <v>1</v>
      </c>
      <c r="H14" t="s">
        <v>121</v>
      </c>
      <c r="I14">
        <v>1</v>
      </c>
      <c r="K14" t="s">
        <v>117</v>
      </c>
      <c r="M14" t="str">
        <f>"16579267"</f>
        <v>16579267</v>
      </c>
      <c r="N14" s="2" t="str">
        <f>"20170101"</f>
        <v>20170101</v>
      </c>
      <c r="O14">
        <v>16</v>
      </c>
      <c r="P14">
        <v>5</v>
      </c>
      <c r="Q14">
        <v>1</v>
      </c>
      <c r="R14">
        <v>15</v>
      </c>
      <c r="S14" t="s">
        <v>118</v>
      </c>
      <c r="U14" t="s">
        <v>119</v>
      </c>
      <c r="V14" t="s">
        <v>120</v>
      </c>
      <c r="X14" s="5" t="s">
        <v>122</v>
      </c>
      <c r="Y14" t="b">
        <f t="shared" si="0"/>
        <v>0</v>
      </c>
    </row>
    <row r="15" spans="1:27" hidden="1">
      <c r="A15" s="11" t="s">
        <v>9939</v>
      </c>
      <c r="B15" t="s">
        <v>16</v>
      </c>
      <c r="C15" s="2" t="s">
        <v>8344</v>
      </c>
      <c r="D15" t="s">
        <v>124</v>
      </c>
      <c r="E15" t="s">
        <v>123</v>
      </c>
      <c r="H15" t="s">
        <v>128</v>
      </c>
      <c r="K15" t="s">
        <v>40</v>
      </c>
      <c r="M15" t="str">
        <f>"15571912"</f>
        <v>15571912</v>
      </c>
      <c r="N15" s="2" t="str">
        <f>"20100601"</f>
        <v>20100601</v>
      </c>
      <c r="O15">
        <v>12</v>
      </c>
      <c r="P15">
        <v>3</v>
      </c>
      <c r="Q15">
        <v>361</v>
      </c>
      <c r="R15">
        <v>9</v>
      </c>
      <c r="S15" t="s">
        <v>125</v>
      </c>
      <c r="T15" t="s">
        <v>126</v>
      </c>
      <c r="U15" t="s">
        <v>42</v>
      </c>
      <c r="V15" t="s">
        <v>127</v>
      </c>
      <c r="X15" t="s">
        <v>129</v>
      </c>
      <c r="Y15" t="b">
        <f t="shared" si="0"/>
        <v>1</v>
      </c>
    </row>
    <row r="16" spans="1:27">
      <c r="A16" s="11" t="s">
        <v>9939</v>
      </c>
      <c r="B16" t="s">
        <v>16</v>
      </c>
      <c r="C16" s="2" t="s">
        <v>8345</v>
      </c>
      <c r="D16" t="s">
        <v>131</v>
      </c>
      <c r="E16" t="s">
        <v>130</v>
      </c>
      <c r="F16">
        <v>1</v>
      </c>
      <c r="H16" t="s">
        <v>136</v>
      </c>
      <c r="I16">
        <v>1</v>
      </c>
      <c r="K16" t="s">
        <v>132</v>
      </c>
      <c r="M16" t="str">
        <f>"01471767"</f>
        <v>01471767</v>
      </c>
      <c r="N16" s="2" t="str">
        <f>"20200501"</f>
        <v>20200501</v>
      </c>
      <c r="O16">
        <v>76</v>
      </c>
      <c r="Q16">
        <v>13</v>
      </c>
      <c r="R16">
        <v>13</v>
      </c>
      <c r="S16" t="s">
        <v>133</v>
      </c>
      <c r="T16" t="s">
        <v>134</v>
      </c>
      <c r="U16" t="s">
        <v>34</v>
      </c>
      <c r="V16" t="s">
        <v>135</v>
      </c>
      <c r="X16" t="s">
        <v>137</v>
      </c>
      <c r="Y16" t="b">
        <f t="shared" si="0"/>
        <v>0</v>
      </c>
    </row>
    <row r="17" spans="1:25" hidden="1">
      <c r="A17" s="11" t="s">
        <v>9939</v>
      </c>
      <c r="B17" t="s">
        <v>16</v>
      </c>
      <c r="C17" s="2" t="s">
        <v>8344</v>
      </c>
      <c r="D17" t="s">
        <v>139</v>
      </c>
      <c r="E17" t="s">
        <v>138</v>
      </c>
      <c r="F17">
        <v>0</v>
      </c>
      <c r="G17" t="s">
        <v>9178</v>
      </c>
      <c r="H17" t="s">
        <v>144</v>
      </c>
      <c r="K17" t="s">
        <v>140</v>
      </c>
      <c r="M17" t="str">
        <f>"02779536"</f>
        <v>02779536</v>
      </c>
      <c r="N17" s="2" t="str">
        <f>"20100701"</f>
        <v>20100701</v>
      </c>
      <c r="O17">
        <v>71</v>
      </c>
      <c r="P17">
        <v>1</v>
      </c>
      <c r="Q17">
        <v>205</v>
      </c>
      <c r="R17">
        <v>7</v>
      </c>
      <c r="S17" t="s">
        <v>141</v>
      </c>
      <c r="T17" t="s">
        <v>142</v>
      </c>
      <c r="U17" t="s">
        <v>34</v>
      </c>
      <c r="V17" t="s">
        <v>143</v>
      </c>
      <c r="X17" t="s">
        <v>145</v>
      </c>
      <c r="Y17" t="b">
        <f t="shared" si="0"/>
        <v>0</v>
      </c>
    </row>
    <row r="18" spans="1:25">
      <c r="A18" s="11" t="s">
        <v>9939</v>
      </c>
      <c r="B18" t="s">
        <v>16</v>
      </c>
      <c r="C18" s="2" t="s">
        <v>8346</v>
      </c>
      <c r="D18" t="s">
        <v>147</v>
      </c>
      <c r="E18" t="s">
        <v>146</v>
      </c>
      <c r="F18">
        <v>1</v>
      </c>
      <c r="H18" t="s">
        <v>151</v>
      </c>
      <c r="I18">
        <v>1</v>
      </c>
      <c r="K18" t="s">
        <v>140</v>
      </c>
      <c r="M18" t="str">
        <f>"02779536"</f>
        <v>02779536</v>
      </c>
      <c r="N18" s="2" t="str">
        <f>"20111201"</f>
        <v>20111201</v>
      </c>
      <c r="O18">
        <v>73</v>
      </c>
      <c r="P18">
        <v>11</v>
      </c>
      <c r="Q18">
        <v>1618</v>
      </c>
      <c r="R18">
        <v>9</v>
      </c>
      <c r="S18" t="s">
        <v>148</v>
      </c>
      <c r="T18" t="s">
        <v>149</v>
      </c>
      <c r="U18" t="s">
        <v>34</v>
      </c>
      <c r="V18" t="s">
        <v>150</v>
      </c>
      <c r="X18" t="s">
        <v>152</v>
      </c>
      <c r="Y18" t="b">
        <f t="shared" si="0"/>
        <v>0</v>
      </c>
    </row>
    <row r="19" spans="1:25">
      <c r="A19" s="11" t="s">
        <v>9939</v>
      </c>
      <c r="B19" t="s">
        <v>16</v>
      </c>
      <c r="C19" s="2" t="s">
        <v>8334</v>
      </c>
      <c r="D19" t="s">
        <v>154</v>
      </c>
      <c r="E19" t="s">
        <v>153</v>
      </c>
      <c r="F19">
        <v>1</v>
      </c>
      <c r="H19" t="s">
        <v>159</v>
      </c>
      <c r="I19">
        <v>1</v>
      </c>
      <c r="K19" t="s">
        <v>155</v>
      </c>
      <c r="M19" t="str">
        <f>"00910562"</f>
        <v>00910562</v>
      </c>
      <c r="N19" s="2" t="str">
        <f>"20140301"</f>
        <v>20140301</v>
      </c>
      <c r="O19">
        <v>53</v>
      </c>
      <c r="P19" s="1">
        <v>44228</v>
      </c>
      <c r="Q19" s="1">
        <v>60</v>
      </c>
      <c r="R19">
        <v>13</v>
      </c>
      <c r="S19" t="s">
        <v>156</v>
      </c>
      <c r="T19" t="s">
        <v>157</v>
      </c>
      <c r="U19" t="s">
        <v>42</v>
      </c>
      <c r="V19" t="s">
        <v>158</v>
      </c>
      <c r="X19" t="s">
        <v>160</v>
      </c>
      <c r="Y19" t="b">
        <f t="shared" si="0"/>
        <v>0</v>
      </c>
    </row>
    <row r="20" spans="1:25">
      <c r="A20" s="11" t="s">
        <v>9939</v>
      </c>
      <c r="B20" t="s">
        <v>16</v>
      </c>
      <c r="C20" s="2" t="s">
        <v>8345</v>
      </c>
      <c r="D20" t="s">
        <v>162</v>
      </c>
      <c r="E20" t="s">
        <v>161</v>
      </c>
      <c r="F20">
        <v>1</v>
      </c>
      <c r="H20" t="s">
        <v>168</v>
      </c>
      <c r="I20">
        <v>1</v>
      </c>
      <c r="K20" t="s">
        <v>163</v>
      </c>
      <c r="M20" t="str">
        <f>"18649335"</f>
        <v>18649335</v>
      </c>
      <c r="N20" s="2" t="str">
        <f>"20200101"</f>
        <v>20200101</v>
      </c>
      <c r="O20">
        <v>51</v>
      </c>
      <c r="P20">
        <v>2</v>
      </c>
      <c r="Q20">
        <v>91</v>
      </c>
      <c r="R20">
        <v>15</v>
      </c>
      <c r="S20" t="s">
        <v>164</v>
      </c>
      <c r="T20" t="s">
        <v>165</v>
      </c>
      <c r="U20" t="s">
        <v>166</v>
      </c>
      <c r="V20" t="s">
        <v>167</v>
      </c>
      <c r="X20" t="s">
        <v>169</v>
      </c>
      <c r="Y20" t="b">
        <f t="shared" si="0"/>
        <v>0</v>
      </c>
    </row>
    <row r="21" spans="1:25" hidden="1">
      <c r="A21" s="11" t="s">
        <v>9939</v>
      </c>
      <c r="B21" t="s">
        <v>16</v>
      </c>
      <c r="C21" s="2" t="s">
        <v>8347</v>
      </c>
      <c r="D21" t="s">
        <v>171</v>
      </c>
      <c r="E21" t="s">
        <v>170</v>
      </c>
      <c r="H21" t="s">
        <v>176</v>
      </c>
      <c r="K21" t="s">
        <v>172</v>
      </c>
      <c r="M21" t="str">
        <f>"01634372"</f>
        <v>01634372</v>
      </c>
      <c r="N21" s="2" t="str">
        <f>"20080201"</f>
        <v>20080201</v>
      </c>
      <c r="O21">
        <v>50</v>
      </c>
      <c r="P21" s="1">
        <v>44289</v>
      </c>
      <c r="Q21" s="1">
        <v>37</v>
      </c>
      <c r="R21">
        <v>14</v>
      </c>
      <c r="S21" t="s">
        <v>173</v>
      </c>
      <c r="T21" t="s">
        <v>174</v>
      </c>
      <c r="U21" t="s">
        <v>87</v>
      </c>
      <c r="V21" t="s">
        <v>175</v>
      </c>
      <c r="X21" t="s">
        <v>177</v>
      </c>
      <c r="Y21" t="b">
        <f t="shared" si="0"/>
        <v>1</v>
      </c>
    </row>
    <row r="22" spans="1:25">
      <c r="A22" s="11" t="s">
        <v>9939</v>
      </c>
      <c r="B22" t="s">
        <v>16</v>
      </c>
      <c r="C22" s="2" t="s">
        <v>8345</v>
      </c>
      <c r="D22" t="s">
        <v>179</v>
      </c>
      <c r="E22" t="s">
        <v>178</v>
      </c>
      <c r="F22">
        <v>1</v>
      </c>
      <c r="H22" t="s">
        <v>185</v>
      </c>
      <c r="I22">
        <v>0</v>
      </c>
      <c r="J22" t="s">
        <v>9245</v>
      </c>
      <c r="K22" t="s">
        <v>180</v>
      </c>
      <c r="M22" t="str">
        <f>"10781919"</f>
        <v>10781919</v>
      </c>
      <c r="N22" s="2" t="str">
        <f>"20201101"</f>
        <v>20201101</v>
      </c>
      <c r="O22">
        <v>26</v>
      </c>
      <c r="P22">
        <v>4</v>
      </c>
      <c r="Q22">
        <v>414</v>
      </c>
      <c r="R22">
        <v>13</v>
      </c>
      <c r="S22" t="s">
        <v>181</v>
      </c>
      <c r="T22" t="s">
        <v>182</v>
      </c>
      <c r="U22" t="s">
        <v>183</v>
      </c>
      <c r="V22" t="s">
        <v>184</v>
      </c>
      <c r="X22" t="s">
        <v>186</v>
      </c>
      <c r="Y22" t="b">
        <f t="shared" si="0"/>
        <v>0</v>
      </c>
    </row>
    <row r="23" spans="1:25" hidden="1">
      <c r="A23" s="11" t="s">
        <v>9939</v>
      </c>
      <c r="B23" t="s">
        <v>16</v>
      </c>
      <c r="C23" s="2" t="s">
        <v>8342</v>
      </c>
      <c r="D23" t="s">
        <v>188</v>
      </c>
      <c r="E23" t="s">
        <v>187</v>
      </c>
      <c r="H23" t="s">
        <v>193</v>
      </c>
      <c r="K23" t="s">
        <v>189</v>
      </c>
      <c r="M23" t="str">
        <f>"01650254"</f>
        <v>01650254</v>
      </c>
      <c r="N23" s="2" t="str">
        <f>"20121101"</f>
        <v>20121101</v>
      </c>
      <c r="O23">
        <v>36</v>
      </c>
      <c r="P23">
        <v>6</v>
      </c>
      <c r="Q23">
        <v>430</v>
      </c>
      <c r="R23">
        <v>10</v>
      </c>
      <c r="S23" t="s">
        <v>190</v>
      </c>
      <c r="T23" t="s">
        <v>191</v>
      </c>
      <c r="U23" t="s">
        <v>15</v>
      </c>
      <c r="V23" t="s">
        <v>192</v>
      </c>
      <c r="X23" t="s">
        <v>194</v>
      </c>
      <c r="Y23" t="b">
        <f t="shared" si="0"/>
        <v>1</v>
      </c>
    </row>
    <row r="24" spans="1:25">
      <c r="A24" s="11" t="s">
        <v>9939</v>
      </c>
      <c r="B24" t="s">
        <v>16</v>
      </c>
      <c r="C24" s="2" t="s">
        <v>8337</v>
      </c>
      <c r="D24" t="s">
        <v>196</v>
      </c>
      <c r="E24" t="s">
        <v>195</v>
      </c>
      <c r="F24">
        <v>1</v>
      </c>
      <c r="H24" t="s">
        <v>201</v>
      </c>
      <c r="I24">
        <v>1</v>
      </c>
      <c r="K24" t="s">
        <v>197</v>
      </c>
      <c r="M24" t="str">
        <f>"10436596"</f>
        <v>10436596</v>
      </c>
      <c r="N24" s="2" t="str">
        <f>"20130401"</f>
        <v>20130401</v>
      </c>
      <c r="O24">
        <v>24</v>
      </c>
      <c r="P24">
        <v>2</v>
      </c>
      <c r="Q24">
        <v>134</v>
      </c>
      <c r="R24">
        <v>10</v>
      </c>
      <c r="S24" t="s">
        <v>198</v>
      </c>
      <c r="T24" t="s">
        <v>199</v>
      </c>
      <c r="U24" t="s">
        <v>15</v>
      </c>
      <c r="V24" t="s">
        <v>200</v>
      </c>
      <c r="X24" t="s">
        <v>202</v>
      </c>
      <c r="Y24" t="b">
        <f t="shared" si="0"/>
        <v>0</v>
      </c>
    </row>
    <row r="25" spans="1:25" hidden="1">
      <c r="A25" s="11" t="s">
        <v>9939</v>
      </c>
      <c r="B25" t="s">
        <v>16</v>
      </c>
      <c r="C25" s="2" t="s">
        <v>8345</v>
      </c>
      <c r="D25" t="s">
        <v>204</v>
      </c>
      <c r="E25" t="s">
        <v>203</v>
      </c>
      <c r="F25">
        <v>0</v>
      </c>
      <c r="G25" t="s">
        <v>9178</v>
      </c>
      <c r="H25" t="s">
        <v>209</v>
      </c>
      <c r="K25" t="s">
        <v>205</v>
      </c>
      <c r="M25" t="str">
        <f>"01607715"</f>
        <v>01607715</v>
      </c>
      <c r="N25" s="2" t="str">
        <f>"20200601"</f>
        <v>20200601</v>
      </c>
      <c r="O25">
        <v>43</v>
      </c>
      <c r="P25">
        <v>3</v>
      </c>
      <c r="Q25">
        <v>460</v>
      </c>
      <c r="R25">
        <v>8</v>
      </c>
      <c r="S25" t="s">
        <v>206</v>
      </c>
      <c r="T25" t="s">
        <v>207</v>
      </c>
      <c r="U25" t="s">
        <v>42</v>
      </c>
      <c r="V25" t="s">
        <v>208</v>
      </c>
      <c r="X25" t="s">
        <v>210</v>
      </c>
      <c r="Y25" t="b">
        <f t="shared" si="0"/>
        <v>0</v>
      </c>
    </row>
    <row r="26" spans="1:25">
      <c r="A26" s="11" t="s">
        <v>9939</v>
      </c>
      <c r="B26" t="s">
        <v>16</v>
      </c>
      <c r="C26" s="2" t="s">
        <v>8340</v>
      </c>
      <c r="D26" t="s">
        <v>212</v>
      </c>
      <c r="E26" t="s">
        <v>211</v>
      </c>
      <c r="F26">
        <v>1</v>
      </c>
      <c r="H26" t="s">
        <v>217</v>
      </c>
      <c r="I26">
        <v>0</v>
      </c>
      <c r="J26" t="s">
        <v>9265</v>
      </c>
      <c r="K26" t="s">
        <v>213</v>
      </c>
      <c r="M26" t="str">
        <f>"03788733"</f>
        <v>03788733</v>
      </c>
      <c r="N26" s="2" t="str">
        <f>"20180501"</f>
        <v>20180501</v>
      </c>
      <c r="O26">
        <v>53</v>
      </c>
      <c r="Q26">
        <v>72</v>
      </c>
      <c r="R26">
        <v>18</v>
      </c>
      <c r="S26" t="s">
        <v>214</v>
      </c>
      <c r="T26" t="s">
        <v>215</v>
      </c>
      <c r="U26" t="s">
        <v>34</v>
      </c>
      <c r="V26" t="s">
        <v>216</v>
      </c>
      <c r="X26" t="s">
        <v>218</v>
      </c>
      <c r="Y26" t="b">
        <f t="shared" si="0"/>
        <v>0</v>
      </c>
    </row>
    <row r="27" spans="1:25">
      <c r="A27" s="11" t="s">
        <v>9939</v>
      </c>
      <c r="B27" t="s">
        <v>16</v>
      </c>
      <c r="C27" s="2" t="s">
        <v>8348</v>
      </c>
      <c r="D27" t="s">
        <v>220</v>
      </c>
      <c r="E27" t="s">
        <v>219</v>
      </c>
      <c r="F27">
        <v>1</v>
      </c>
      <c r="H27" t="s">
        <v>226</v>
      </c>
      <c r="I27">
        <v>1</v>
      </c>
      <c r="K27" t="s">
        <v>221</v>
      </c>
      <c r="M27" t="str">
        <f>"00904392"</f>
        <v>00904392</v>
      </c>
      <c r="N27" s="2" t="str">
        <f>"20050301"</f>
        <v>20050301</v>
      </c>
      <c r="O27">
        <v>33</v>
      </c>
      <c r="P27">
        <v>2</v>
      </c>
      <c r="Q27">
        <v>157</v>
      </c>
      <c r="R27">
        <v>18</v>
      </c>
      <c r="S27" t="s">
        <v>222</v>
      </c>
      <c r="T27" t="s">
        <v>223</v>
      </c>
      <c r="U27" t="s">
        <v>224</v>
      </c>
      <c r="V27" t="s">
        <v>225</v>
      </c>
      <c r="X27" t="s">
        <v>227</v>
      </c>
      <c r="Y27" t="b">
        <f t="shared" si="0"/>
        <v>0</v>
      </c>
    </row>
    <row r="28" spans="1:25">
      <c r="A28" s="11" t="s">
        <v>9939</v>
      </c>
      <c r="B28" t="s">
        <v>16</v>
      </c>
      <c r="C28" s="2" t="s">
        <v>8346</v>
      </c>
      <c r="D28" t="s">
        <v>229</v>
      </c>
      <c r="E28" t="s">
        <v>228</v>
      </c>
      <c r="F28">
        <v>1</v>
      </c>
      <c r="H28" t="s">
        <v>233</v>
      </c>
      <c r="I28">
        <v>1</v>
      </c>
      <c r="K28" t="s">
        <v>40</v>
      </c>
      <c r="M28" t="str">
        <f>"15571912"</f>
        <v>15571912</v>
      </c>
      <c r="N28" s="2" t="str">
        <f>"20111201"</f>
        <v>20111201</v>
      </c>
      <c r="O28">
        <v>13</v>
      </c>
      <c r="P28">
        <v>6</v>
      </c>
      <c r="Q28">
        <v>1142</v>
      </c>
      <c r="R28">
        <v>8</v>
      </c>
      <c r="S28" t="s">
        <v>230</v>
      </c>
      <c r="T28" t="s">
        <v>231</v>
      </c>
      <c r="U28" t="s">
        <v>42</v>
      </c>
      <c r="V28" t="s">
        <v>232</v>
      </c>
      <c r="X28" t="s">
        <v>234</v>
      </c>
      <c r="Y28" t="b">
        <f t="shared" si="0"/>
        <v>0</v>
      </c>
    </row>
    <row r="29" spans="1:25" hidden="1">
      <c r="A29" s="11" t="s">
        <v>9939</v>
      </c>
      <c r="B29" t="s">
        <v>16</v>
      </c>
      <c r="C29" s="2" t="s">
        <v>8349</v>
      </c>
      <c r="D29" t="s">
        <v>236</v>
      </c>
      <c r="E29" t="s">
        <v>235</v>
      </c>
      <c r="F29">
        <v>0</v>
      </c>
      <c r="G29" t="s">
        <v>9178</v>
      </c>
      <c r="H29" t="s">
        <v>241</v>
      </c>
      <c r="K29" t="s">
        <v>237</v>
      </c>
      <c r="M29" t="str">
        <f>"10778012"</f>
        <v>10778012</v>
      </c>
      <c r="N29" s="2" t="str">
        <f>"20190501"</f>
        <v>20190501</v>
      </c>
      <c r="O29">
        <v>25</v>
      </c>
      <c r="P29">
        <v>7</v>
      </c>
      <c r="Q29">
        <v>792</v>
      </c>
      <c r="R29">
        <v>25</v>
      </c>
      <c r="S29" t="s">
        <v>238</v>
      </c>
      <c r="T29" t="s">
        <v>239</v>
      </c>
      <c r="U29" t="s">
        <v>15</v>
      </c>
      <c r="V29" t="s">
        <v>240</v>
      </c>
      <c r="X29" t="s">
        <v>242</v>
      </c>
      <c r="Y29" t="b">
        <f t="shared" si="0"/>
        <v>0</v>
      </c>
    </row>
    <row r="30" spans="1:25" hidden="1">
      <c r="A30" s="11" t="s">
        <v>9939</v>
      </c>
      <c r="B30" t="s">
        <v>16</v>
      </c>
      <c r="C30" s="2" t="s">
        <v>8342</v>
      </c>
      <c r="D30" t="s">
        <v>244</v>
      </c>
      <c r="E30" t="s">
        <v>243</v>
      </c>
      <c r="F30">
        <v>0</v>
      </c>
      <c r="G30" t="s">
        <v>9178</v>
      </c>
      <c r="H30" t="s">
        <v>248</v>
      </c>
      <c r="K30" t="s">
        <v>40</v>
      </c>
      <c r="M30" t="str">
        <f>"15571912"</f>
        <v>15571912</v>
      </c>
      <c r="N30" s="2" t="str">
        <f>"20120401"</f>
        <v>20120401</v>
      </c>
      <c r="O30">
        <v>14</v>
      </c>
      <c r="P30">
        <v>2</v>
      </c>
      <c r="Q30">
        <v>264</v>
      </c>
      <c r="R30">
        <v>8</v>
      </c>
      <c r="S30" t="s">
        <v>245</v>
      </c>
      <c r="T30" t="s">
        <v>246</v>
      </c>
      <c r="U30" t="s">
        <v>42</v>
      </c>
      <c r="V30" t="s">
        <v>247</v>
      </c>
      <c r="X30" t="s">
        <v>249</v>
      </c>
      <c r="Y30" t="b">
        <f t="shared" si="0"/>
        <v>0</v>
      </c>
    </row>
    <row r="31" spans="1:25" hidden="1">
      <c r="A31" s="11" t="s">
        <v>9939</v>
      </c>
      <c r="B31" t="s">
        <v>16</v>
      </c>
      <c r="C31" s="2" t="s">
        <v>8337</v>
      </c>
      <c r="D31" t="s">
        <v>251</v>
      </c>
      <c r="E31" t="s">
        <v>250</v>
      </c>
      <c r="H31" t="s">
        <v>256</v>
      </c>
      <c r="K31" t="s">
        <v>252</v>
      </c>
      <c r="M31" t="str">
        <f>"00220221"</f>
        <v>00220221</v>
      </c>
      <c r="N31" s="2" t="str">
        <f>"20131001"</f>
        <v>20131001</v>
      </c>
      <c r="O31">
        <v>44</v>
      </c>
      <c r="P31">
        <v>7</v>
      </c>
      <c r="Q31">
        <v>1067</v>
      </c>
      <c r="R31">
        <v>27</v>
      </c>
      <c r="S31" t="s">
        <v>253</v>
      </c>
      <c r="T31" t="s">
        <v>254</v>
      </c>
      <c r="U31" t="s">
        <v>15</v>
      </c>
      <c r="V31" t="s">
        <v>255</v>
      </c>
      <c r="X31" t="s">
        <v>257</v>
      </c>
      <c r="Y31" t="b">
        <f t="shared" si="0"/>
        <v>1</v>
      </c>
    </row>
    <row r="32" spans="1:25" hidden="1">
      <c r="A32" s="11" t="s">
        <v>9939</v>
      </c>
      <c r="B32" t="s">
        <v>16</v>
      </c>
      <c r="C32" s="2" t="s">
        <v>8343</v>
      </c>
      <c r="D32" t="s">
        <v>259</v>
      </c>
      <c r="E32" t="s">
        <v>258</v>
      </c>
      <c r="F32">
        <v>0</v>
      </c>
      <c r="G32" t="s">
        <v>9178</v>
      </c>
      <c r="H32" t="s">
        <v>264</v>
      </c>
      <c r="K32" t="s">
        <v>260</v>
      </c>
      <c r="M32" t="str">
        <f>"07399332"</f>
        <v>07399332</v>
      </c>
      <c r="N32" s="2" t="str">
        <f>"20171001"</f>
        <v>20171001</v>
      </c>
      <c r="O32">
        <v>38</v>
      </c>
      <c r="P32">
        <v>10</v>
      </c>
      <c r="Q32">
        <v>1115</v>
      </c>
      <c r="R32">
        <v>15</v>
      </c>
      <c r="S32" t="s">
        <v>261</v>
      </c>
      <c r="T32" t="s">
        <v>262</v>
      </c>
      <c r="U32" t="s">
        <v>87</v>
      </c>
      <c r="V32" t="s">
        <v>263</v>
      </c>
      <c r="X32" t="s">
        <v>265</v>
      </c>
      <c r="Y32" t="b">
        <f t="shared" si="0"/>
        <v>0</v>
      </c>
    </row>
    <row r="33" spans="1:25" hidden="1">
      <c r="A33" s="11" t="s">
        <v>9939</v>
      </c>
      <c r="B33" t="s">
        <v>16</v>
      </c>
      <c r="C33" s="2" t="s">
        <v>8342</v>
      </c>
      <c r="D33" t="s">
        <v>267</v>
      </c>
      <c r="E33" t="s">
        <v>266</v>
      </c>
      <c r="F33">
        <v>0</v>
      </c>
      <c r="G33" t="s">
        <v>9178</v>
      </c>
      <c r="H33" t="s">
        <v>272</v>
      </c>
      <c r="K33" t="s">
        <v>268</v>
      </c>
      <c r="M33" t="str">
        <f>"17401445"</f>
        <v>17401445</v>
      </c>
      <c r="N33" s="2" t="str">
        <f>"20120101"</f>
        <v>20120101</v>
      </c>
      <c r="O33">
        <v>9</v>
      </c>
      <c r="P33">
        <v>1</v>
      </c>
      <c r="Q33">
        <v>118</v>
      </c>
      <c r="R33">
        <v>8</v>
      </c>
      <c r="S33" t="s">
        <v>269</v>
      </c>
      <c r="T33" t="s">
        <v>270</v>
      </c>
      <c r="U33" t="s">
        <v>34</v>
      </c>
      <c r="V33" t="s">
        <v>271</v>
      </c>
      <c r="X33" t="s">
        <v>273</v>
      </c>
      <c r="Y33" t="b">
        <f t="shared" si="0"/>
        <v>0</v>
      </c>
    </row>
    <row r="34" spans="1:25" hidden="1">
      <c r="A34" s="11" t="s">
        <v>9939</v>
      </c>
      <c r="B34" t="s">
        <v>16</v>
      </c>
      <c r="C34" s="2" t="s">
        <v>8334</v>
      </c>
      <c r="D34" t="s">
        <v>275</v>
      </c>
      <c r="E34" t="s">
        <v>274</v>
      </c>
      <c r="F34">
        <v>0</v>
      </c>
      <c r="G34" t="s">
        <v>9178</v>
      </c>
      <c r="H34" t="s">
        <v>280</v>
      </c>
      <c r="K34" t="s">
        <v>276</v>
      </c>
      <c r="M34" t="str">
        <f>"10927875"</f>
        <v>10927875</v>
      </c>
      <c r="N34" s="2" t="str">
        <f>"20140901"</f>
        <v>20140901</v>
      </c>
      <c r="O34">
        <v>18</v>
      </c>
      <c r="P34">
        <v>7</v>
      </c>
      <c r="Q34">
        <v>1699</v>
      </c>
      <c r="R34">
        <v>12</v>
      </c>
      <c r="S34" t="s">
        <v>277</v>
      </c>
      <c r="T34" t="s">
        <v>278</v>
      </c>
      <c r="U34" t="s">
        <v>42</v>
      </c>
      <c r="V34" t="s">
        <v>279</v>
      </c>
      <c r="X34" t="s">
        <v>281</v>
      </c>
      <c r="Y34" t="b">
        <f t="shared" si="0"/>
        <v>0</v>
      </c>
    </row>
    <row r="35" spans="1:25" hidden="1">
      <c r="A35" s="11" t="s">
        <v>9939</v>
      </c>
      <c r="B35" t="s">
        <v>69</v>
      </c>
      <c r="C35" s="2" t="s">
        <v>8337</v>
      </c>
      <c r="D35" t="s">
        <v>283</v>
      </c>
      <c r="E35" t="s">
        <v>282</v>
      </c>
      <c r="H35" t="s">
        <v>287</v>
      </c>
      <c r="K35" t="s">
        <v>101</v>
      </c>
      <c r="L35" t="str">
        <f>"9781267249586"</f>
        <v>9781267249586</v>
      </c>
      <c r="M35" t="str">
        <f>"04194217"</f>
        <v>04194217</v>
      </c>
      <c r="N35" s="2" t="str">
        <f>"20130101"</f>
        <v>20130101</v>
      </c>
      <c r="O35">
        <v>73</v>
      </c>
      <c r="P35" t="s">
        <v>284</v>
      </c>
      <c r="S35" t="s">
        <v>285</v>
      </c>
      <c r="U35" t="s">
        <v>68</v>
      </c>
      <c r="V35" t="s">
        <v>286</v>
      </c>
      <c r="X35" t="s">
        <v>288</v>
      </c>
      <c r="Y35" t="b">
        <f t="shared" si="0"/>
        <v>1</v>
      </c>
    </row>
    <row r="36" spans="1:25">
      <c r="A36" s="11" t="s">
        <v>9939</v>
      </c>
      <c r="B36" t="s">
        <v>16</v>
      </c>
      <c r="C36" s="2" t="s">
        <v>8336</v>
      </c>
      <c r="D36" t="s">
        <v>290</v>
      </c>
      <c r="E36" t="s">
        <v>289</v>
      </c>
      <c r="F36">
        <v>1</v>
      </c>
      <c r="H36" t="s">
        <v>296</v>
      </c>
      <c r="I36">
        <v>1</v>
      </c>
      <c r="K36" t="s">
        <v>291</v>
      </c>
      <c r="M36" t="str">
        <f>"10169040"</f>
        <v>10169040</v>
      </c>
      <c r="N36" s="2" t="str">
        <f>"20070101"</f>
        <v>20070101</v>
      </c>
      <c r="O36">
        <v>12</v>
      </c>
      <c r="P36">
        <v>2</v>
      </c>
      <c r="Q36">
        <v>80</v>
      </c>
      <c r="R36">
        <v>13</v>
      </c>
      <c r="S36" t="s">
        <v>292</v>
      </c>
      <c r="T36" t="s">
        <v>293</v>
      </c>
      <c r="U36" t="s">
        <v>294</v>
      </c>
      <c r="V36" t="s">
        <v>295</v>
      </c>
      <c r="X36" t="s">
        <v>297</v>
      </c>
      <c r="Y36" t="b">
        <f t="shared" si="0"/>
        <v>0</v>
      </c>
    </row>
    <row r="37" spans="1:25" hidden="1">
      <c r="A37" s="11" t="s">
        <v>9939</v>
      </c>
      <c r="B37" t="s">
        <v>16</v>
      </c>
      <c r="C37" s="2" t="s">
        <v>8337</v>
      </c>
      <c r="D37" t="s">
        <v>299</v>
      </c>
      <c r="E37" t="s">
        <v>298</v>
      </c>
      <c r="H37" t="s">
        <v>303</v>
      </c>
      <c r="K37" t="s">
        <v>93</v>
      </c>
      <c r="M37" t="str">
        <f>"00207640"</f>
        <v>00207640</v>
      </c>
      <c r="N37" s="2" t="str">
        <f>"20130301"</f>
        <v>20130301</v>
      </c>
      <c r="O37">
        <v>59</v>
      </c>
      <c r="P37">
        <v>2</v>
      </c>
      <c r="Q37">
        <v>157</v>
      </c>
      <c r="R37">
        <v>8</v>
      </c>
      <c r="S37" t="s">
        <v>300</v>
      </c>
      <c r="T37" t="s">
        <v>301</v>
      </c>
      <c r="U37" t="s">
        <v>15</v>
      </c>
      <c r="V37" t="s">
        <v>302</v>
      </c>
      <c r="X37" t="s">
        <v>304</v>
      </c>
      <c r="Y37" t="b">
        <f t="shared" si="0"/>
        <v>1</v>
      </c>
    </row>
    <row r="38" spans="1:25" hidden="1">
      <c r="A38" s="11" t="s">
        <v>9939</v>
      </c>
      <c r="B38" t="s">
        <v>16</v>
      </c>
      <c r="C38" s="2" t="s">
        <v>8343</v>
      </c>
      <c r="D38" t="s">
        <v>306</v>
      </c>
      <c r="E38" t="s">
        <v>305</v>
      </c>
      <c r="F38">
        <v>0</v>
      </c>
      <c r="G38" t="s">
        <v>9249</v>
      </c>
      <c r="H38" t="s">
        <v>310</v>
      </c>
      <c r="K38" t="s">
        <v>132</v>
      </c>
      <c r="M38" t="str">
        <f>"01471767"</f>
        <v>01471767</v>
      </c>
      <c r="N38" s="2" t="str">
        <f>"20170901"</f>
        <v>20170901</v>
      </c>
      <c r="O38">
        <v>60</v>
      </c>
      <c r="Q38">
        <v>67</v>
      </c>
      <c r="R38">
        <v>16</v>
      </c>
      <c r="S38" t="s">
        <v>307</v>
      </c>
      <c r="T38" t="s">
        <v>308</v>
      </c>
      <c r="U38" t="s">
        <v>34</v>
      </c>
      <c r="V38" t="s">
        <v>309</v>
      </c>
      <c r="X38" t="s">
        <v>311</v>
      </c>
      <c r="Y38" t="b">
        <f t="shared" si="0"/>
        <v>0</v>
      </c>
    </row>
    <row r="39" spans="1:25" hidden="1">
      <c r="A39" s="11" t="s">
        <v>9939</v>
      </c>
      <c r="B39" t="s">
        <v>16</v>
      </c>
      <c r="C39" s="2" t="s">
        <v>8336</v>
      </c>
      <c r="D39" t="s">
        <v>313</v>
      </c>
      <c r="E39" t="s">
        <v>312</v>
      </c>
      <c r="H39" t="s">
        <v>318</v>
      </c>
      <c r="K39" t="s">
        <v>314</v>
      </c>
      <c r="M39" t="str">
        <f>"19726325"</f>
        <v>19726325</v>
      </c>
      <c r="N39" s="2" t="str">
        <f>"20070901"</f>
        <v>20070901</v>
      </c>
      <c r="O39">
        <v>14</v>
      </c>
      <c r="P39" s="1">
        <v>44289</v>
      </c>
      <c r="Q39" s="1">
        <v>135</v>
      </c>
      <c r="R39">
        <v>15</v>
      </c>
      <c r="S39" t="s">
        <v>315</v>
      </c>
      <c r="U39" t="s">
        <v>316</v>
      </c>
      <c r="V39" t="s">
        <v>317</v>
      </c>
      <c r="X39" t="s">
        <v>319</v>
      </c>
      <c r="Y39" t="b">
        <f t="shared" si="0"/>
        <v>1</v>
      </c>
    </row>
    <row r="40" spans="1:25">
      <c r="A40" s="11" t="s">
        <v>9939</v>
      </c>
      <c r="B40" t="s">
        <v>16</v>
      </c>
      <c r="C40" s="2" t="s">
        <v>8340</v>
      </c>
      <c r="D40" t="s">
        <v>321</v>
      </c>
      <c r="E40" t="s">
        <v>320</v>
      </c>
      <c r="F40">
        <v>1</v>
      </c>
      <c r="H40" t="s">
        <v>326</v>
      </c>
      <c r="I40">
        <v>1</v>
      </c>
      <c r="K40" t="s">
        <v>322</v>
      </c>
      <c r="M40" t="str">
        <f>"03038300"</f>
        <v>03038300</v>
      </c>
      <c r="N40" s="2" t="str">
        <f>"20180801"</f>
        <v>20180801</v>
      </c>
      <c r="O40">
        <v>139</v>
      </c>
      <c r="P40">
        <v>1</v>
      </c>
      <c r="Q40">
        <v>277</v>
      </c>
      <c r="R40">
        <v>16</v>
      </c>
      <c r="S40" t="s">
        <v>323</v>
      </c>
      <c r="T40" t="s">
        <v>324</v>
      </c>
      <c r="U40" t="s">
        <v>42</v>
      </c>
      <c r="V40" t="s">
        <v>325</v>
      </c>
      <c r="X40" t="s">
        <v>327</v>
      </c>
      <c r="Y40" t="b">
        <f t="shared" si="0"/>
        <v>0</v>
      </c>
    </row>
    <row r="41" spans="1:25">
      <c r="A41" s="11" t="s">
        <v>9939</v>
      </c>
      <c r="B41" t="s">
        <v>16</v>
      </c>
      <c r="C41" s="2" t="s">
        <v>8343</v>
      </c>
      <c r="D41" t="s">
        <v>329</v>
      </c>
      <c r="E41" t="s">
        <v>328</v>
      </c>
      <c r="F41">
        <v>1</v>
      </c>
      <c r="H41" t="s">
        <v>335</v>
      </c>
      <c r="I41">
        <v>0</v>
      </c>
      <c r="J41" t="s">
        <v>9178</v>
      </c>
      <c r="K41" t="s">
        <v>330</v>
      </c>
      <c r="M41" t="str">
        <f>"20556365"</f>
        <v>20556365</v>
      </c>
      <c r="N41" s="2" t="str">
        <f>"20170601"</f>
        <v>20170601</v>
      </c>
      <c r="O41">
        <v>27</v>
      </c>
      <c r="P41">
        <v>1</v>
      </c>
      <c r="Q41">
        <v>24</v>
      </c>
      <c r="R41">
        <v>13</v>
      </c>
      <c r="S41" t="s">
        <v>331</v>
      </c>
      <c r="T41" t="s">
        <v>332</v>
      </c>
      <c r="U41" t="s">
        <v>333</v>
      </c>
      <c r="V41" t="s">
        <v>334</v>
      </c>
      <c r="X41" t="s">
        <v>336</v>
      </c>
      <c r="Y41" t="b">
        <f t="shared" si="0"/>
        <v>0</v>
      </c>
    </row>
    <row r="42" spans="1:25" hidden="1">
      <c r="A42" s="11" t="s">
        <v>9939</v>
      </c>
      <c r="B42" t="s">
        <v>16</v>
      </c>
      <c r="C42" s="2" t="s">
        <v>8339</v>
      </c>
      <c r="D42" t="s">
        <v>338</v>
      </c>
      <c r="E42" t="s">
        <v>337</v>
      </c>
      <c r="F42">
        <v>0</v>
      </c>
      <c r="G42" t="s">
        <v>9249</v>
      </c>
      <c r="H42" t="s">
        <v>343</v>
      </c>
      <c r="K42" t="s">
        <v>339</v>
      </c>
      <c r="M42" t="str">
        <f>"01419870"</f>
        <v>01419870</v>
      </c>
      <c r="N42" s="2" t="str">
        <f>"20150401"</f>
        <v>20150401</v>
      </c>
      <c r="O42">
        <v>38</v>
      </c>
      <c r="P42">
        <v>5</v>
      </c>
      <c r="Q42">
        <v>700</v>
      </c>
      <c r="R42">
        <v>18</v>
      </c>
      <c r="S42" t="s">
        <v>340</v>
      </c>
      <c r="T42" t="s">
        <v>341</v>
      </c>
      <c r="U42" t="s">
        <v>87</v>
      </c>
      <c r="V42" t="s">
        <v>342</v>
      </c>
      <c r="X42" t="s">
        <v>344</v>
      </c>
      <c r="Y42" t="b">
        <f t="shared" si="0"/>
        <v>0</v>
      </c>
    </row>
    <row r="43" spans="1:25" hidden="1">
      <c r="A43" s="11" t="s">
        <v>9939</v>
      </c>
      <c r="B43" t="s">
        <v>16</v>
      </c>
      <c r="C43" s="2" t="s">
        <v>8347</v>
      </c>
      <c r="D43" t="s">
        <v>346</v>
      </c>
      <c r="E43" t="s">
        <v>345</v>
      </c>
      <c r="F43">
        <v>0</v>
      </c>
      <c r="G43" t="s">
        <v>9178</v>
      </c>
      <c r="H43" t="s">
        <v>352</v>
      </c>
      <c r="K43" t="s">
        <v>347</v>
      </c>
      <c r="M43" t="str">
        <f>"00900036"</f>
        <v>00900036</v>
      </c>
      <c r="N43" s="2" t="str">
        <f>"20081101"</f>
        <v>20081101</v>
      </c>
      <c r="O43">
        <v>98</v>
      </c>
      <c r="P43">
        <v>11</v>
      </c>
      <c r="Q43">
        <v>2011</v>
      </c>
      <c r="R43">
        <v>10</v>
      </c>
      <c r="S43" t="s">
        <v>348</v>
      </c>
      <c r="T43" t="s">
        <v>349</v>
      </c>
      <c r="U43" t="s">
        <v>350</v>
      </c>
      <c r="V43" t="s">
        <v>351</v>
      </c>
      <c r="X43" t="s">
        <v>353</v>
      </c>
      <c r="Y43" t="b">
        <f t="shared" si="0"/>
        <v>0</v>
      </c>
    </row>
    <row r="44" spans="1:25">
      <c r="A44" s="11" t="s">
        <v>9939</v>
      </c>
      <c r="B44" t="s">
        <v>16</v>
      </c>
      <c r="C44" s="2" t="s">
        <v>8347</v>
      </c>
      <c r="D44" t="s">
        <v>355</v>
      </c>
      <c r="E44" t="s">
        <v>354</v>
      </c>
      <c r="F44">
        <v>1</v>
      </c>
      <c r="H44" t="s">
        <v>359</v>
      </c>
      <c r="I44">
        <v>1</v>
      </c>
      <c r="K44" t="s">
        <v>155</v>
      </c>
      <c r="M44" t="str">
        <f>"00910562"</f>
        <v>00910562</v>
      </c>
      <c r="N44" s="2" t="str">
        <f>"20081201"</f>
        <v>20081201</v>
      </c>
      <c r="O44">
        <v>42</v>
      </c>
      <c r="P44" s="1">
        <v>44289</v>
      </c>
      <c r="Q44" s="1">
        <v>286</v>
      </c>
      <c r="R44">
        <v>12</v>
      </c>
      <c r="S44" t="s">
        <v>356</v>
      </c>
      <c r="T44" t="s">
        <v>357</v>
      </c>
      <c r="U44" t="s">
        <v>42</v>
      </c>
      <c r="V44" t="s">
        <v>358</v>
      </c>
      <c r="X44" t="s">
        <v>360</v>
      </c>
      <c r="Y44" t="b">
        <f t="shared" si="0"/>
        <v>0</v>
      </c>
    </row>
    <row r="45" spans="1:25">
      <c r="A45" s="11" t="s">
        <v>9939</v>
      </c>
      <c r="B45" t="s">
        <v>16</v>
      </c>
      <c r="C45" s="2" t="s">
        <v>8345</v>
      </c>
      <c r="D45" t="s">
        <v>362</v>
      </c>
      <c r="E45" t="s">
        <v>361</v>
      </c>
      <c r="F45">
        <v>1</v>
      </c>
      <c r="H45" t="s">
        <v>366</v>
      </c>
      <c r="I45">
        <v>0</v>
      </c>
      <c r="J45" t="s">
        <v>9237</v>
      </c>
      <c r="K45" t="s">
        <v>132</v>
      </c>
      <c r="M45" t="str">
        <f>"01471767"</f>
        <v>01471767</v>
      </c>
      <c r="N45" s="2" t="str">
        <f>"20200101"</f>
        <v>20200101</v>
      </c>
      <c r="O45">
        <v>74</v>
      </c>
      <c r="Q45">
        <v>149</v>
      </c>
      <c r="R45">
        <v>12</v>
      </c>
      <c r="S45" t="s">
        <v>363</v>
      </c>
      <c r="T45" t="s">
        <v>364</v>
      </c>
      <c r="U45" t="s">
        <v>34</v>
      </c>
      <c r="V45" t="s">
        <v>365</v>
      </c>
      <c r="X45" t="s">
        <v>367</v>
      </c>
      <c r="Y45" t="b">
        <f t="shared" si="0"/>
        <v>0</v>
      </c>
    </row>
    <row r="46" spans="1:25">
      <c r="A46" s="11" t="s">
        <v>9939</v>
      </c>
      <c r="B46" t="s">
        <v>16</v>
      </c>
      <c r="C46" s="2" t="s">
        <v>8347</v>
      </c>
      <c r="D46" t="s">
        <v>369</v>
      </c>
      <c r="E46" t="s">
        <v>368</v>
      </c>
      <c r="F46">
        <v>1</v>
      </c>
      <c r="H46" t="s">
        <v>374</v>
      </c>
      <c r="I46">
        <v>1</v>
      </c>
      <c r="K46" t="s">
        <v>370</v>
      </c>
      <c r="M46" t="str">
        <f>"00207594"</f>
        <v>00207594</v>
      </c>
      <c r="N46" s="2" t="str">
        <f>"20080201"</f>
        <v>20080201</v>
      </c>
      <c r="O46">
        <v>43</v>
      </c>
      <c r="P46">
        <v>1</v>
      </c>
      <c r="Q46">
        <v>45</v>
      </c>
      <c r="R46">
        <v>14</v>
      </c>
      <c r="S46" t="s">
        <v>371</v>
      </c>
      <c r="T46" t="s">
        <v>372</v>
      </c>
      <c r="U46" t="s">
        <v>87</v>
      </c>
      <c r="V46" t="s">
        <v>373</v>
      </c>
      <c r="X46" t="s">
        <v>375</v>
      </c>
      <c r="Y46" t="b">
        <f t="shared" si="0"/>
        <v>0</v>
      </c>
    </row>
    <row r="47" spans="1:25">
      <c r="A47" s="11" t="s">
        <v>9939</v>
      </c>
      <c r="B47" t="s">
        <v>69</v>
      </c>
      <c r="C47" s="2" t="s">
        <v>8340</v>
      </c>
      <c r="D47" t="s">
        <v>377</v>
      </c>
      <c r="E47" t="s">
        <v>376</v>
      </c>
      <c r="F47">
        <v>1</v>
      </c>
      <c r="H47" t="s">
        <v>381</v>
      </c>
      <c r="I47">
        <v>1</v>
      </c>
      <c r="K47" t="s">
        <v>65</v>
      </c>
      <c r="L47" t="str">
        <f>"9781369855517"</f>
        <v>9781369855517</v>
      </c>
      <c r="M47" t="str">
        <f>"04194209"</f>
        <v>04194209</v>
      </c>
      <c r="N47" s="2" t="str">
        <f>"20180101"</f>
        <v>20180101</v>
      </c>
      <c r="O47">
        <v>78</v>
      </c>
      <c r="P47" t="s">
        <v>378</v>
      </c>
      <c r="S47" t="s">
        <v>379</v>
      </c>
      <c r="U47" t="s">
        <v>68</v>
      </c>
      <c r="V47" t="s">
        <v>380</v>
      </c>
      <c r="X47" t="s">
        <v>382</v>
      </c>
      <c r="Y47" t="b">
        <f t="shared" si="0"/>
        <v>0</v>
      </c>
    </row>
    <row r="48" spans="1:25" hidden="1">
      <c r="A48" s="11" t="s">
        <v>9939</v>
      </c>
      <c r="B48" t="s">
        <v>16</v>
      </c>
      <c r="C48" s="2" t="s">
        <v>8349</v>
      </c>
      <c r="D48" t="s">
        <v>384</v>
      </c>
      <c r="E48" t="s">
        <v>383</v>
      </c>
      <c r="H48" t="s">
        <v>388</v>
      </c>
      <c r="K48" t="s">
        <v>221</v>
      </c>
      <c r="M48" t="str">
        <f>"00904392"</f>
        <v>00904392</v>
      </c>
      <c r="N48" s="2" t="str">
        <f>"20190801"</f>
        <v>20190801</v>
      </c>
      <c r="O48">
        <v>47</v>
      </c>
      <c r="P48">
        <v>6</v>
      </c>
      <c r="Q48">
        <v>1313</v>
      </c>
      <c r="R48">
        <v>16</v>
      </c>
      <c r="S48" t="s">
        <v>385</v>
      </c>
      <c r="T48" t="s">
        <v>386</v>
      </c>
      <c r="U48" t="s">
        <v>224</v>
      </c>
      <c r="V48" t="s">
        <v>387</v>
      </c>
      <c r="X48" t="s">
        <v>389</v>
      </c>
      <c r="Y48" t="b">
        <f t="shared" si="0"/>
        <v>1</v>
      </c>
    </row>
    <row r="49" spans="1:25">
      <c r="A49" s="11" t="s">
        <v>9939</v>
      </c>
      <c r="B49" t="s">
        <v>395</v>
      </c>
      <c r="C49" s="2" t="s">
        <v>8334</v>
      </c>
      <c r="D49" t="s">
        <v>391</v>
      </c>
      <c r="E49" t="s">
        <v>390</v>
      </c>
      <c r="F49">
        <v>1</v>
      </c>
      <c r="H49" t="s">
        <v>397</v>
      </c>
      <c r="I49">
        <v>1</v>
      </c>
      <c r="K49" t="s">
        <v>392</v>
      </c>
      <c r="L49" t="str">
        <f>"9781633213470; 9781633213487"</f>
        <v>9781633213470; 9781633213487</v>
      </c>
      <c r="N49" s="2" t="str">
        <f>"20140101"</f>
        <v>20140101</v>
      </c>
      <c r="Q49">
        <v>167</v>
      </c>
      <c r="R49">
        <v>14</v>
      </c>
      <c r="S49" t="s">
        <v>393</v>
      </c>
      <c r="U49" t="s">
        <v>394</v>
      </c>
      <c r="V49" t="s">
        <v>396</v>
      </c>
      <c r="X49" t="s">
        <v>398</v>
      </c>
      <c r="Y49" t="b">
        <f t="shared" si="0"/>
        <v>0</v>
      </c>
    </row>
    <row r="50" spans="1:25">
      <c r="A50" s="11" t="s">
        <v>9939</v>
      </c>
      <c r="B50" t="s">
        <v>16</v>
      </c>
      <c r="C50" s="2" t="s">
        <v>8347</v>
      </c>
      <c r="D50" t="s">
        <v>400</v>
      </c>
      <c r="E50" t="s">
        <v>399</v>
      </c>
      <c r="F50">
        <v>1</v>
      </c>
      <c r="H50" t="s">
        <v>406</v>
      </c>
      <c r="I50">
        <v>1</v>
      </c>
      <c r="K50" t="s">
        <v>401</v>
      </c>
      <c r="M50" t="str">
        <f>"15409996"</f>
        <v>15409996</v>
      </c>
      <c r="N50" s="2" t="str">
        <f>"20080101"</f>
        <v>20080101</v>
      </c>
      <c r="O50">
        <v>17</v>
      </c>
      <c r="P50">
        <v>1</v>
      </c>
      <c r="Q50">
        <v>67</v>
      </c>
      <c r="R50">
        <v>7</v>
      </c>
      <c r="S50" t="s">
        <v>402</v>
      </c>
      <c r="T50" t="s">
        <v>403</v>
      </c>
      <c r="U50" t="s">
        <v>404</v>
      </c>
      <c r="V50" t="s">
        <v>405</v>
      </c>
      <c r="X50" t="s">
        <v>407</v>
      </c>
      <c r="Y50" t="b">
        <f t="shared" si="0"/>
        <v>0</v>
      </c>
    </row>
    <row r="51" spans="1:25">
      <c r="A51" s="11" t="s">
        <v>9939</v>
      </c>
      <c r="B51" t="s">
        <v>16</v>
      </c>
      <c r="C51" s="2" t="s">
        <v>8346</v>
      </c>
      <c r="D51" t="s">
        <v>409</v>
      </c>
      <c r="E51" t="s">
        <v>408</v>
      </c>
      <c r="F51">
        <v>1</v>
      </c>
      <c r="H51" t="s">
        <v>413</v>
      </c>
      <c r="I51">
        <v>1</v>
      </c>
      <c r="K51" t="s">
        <v>40</v>
      </c>
      <c r="M51" t="str">
        <f>"15571912"</f>
        <v>15571912</v>
      </c>
      <c r="N51" s="2" t="str">
        <f>"20111201"</f>
        <v>20111201</v>
      </c>
      <c r="O51">
        <v>13</v>
      </c>
      <c r="P51">
        <v>6</v>
      </c>
      <c r="Q51">
        <v>975</v>
      </c>
      <c r="R51">
        <v>7</v>
      </c>
      <c r="S51" t="s">
        <v>410</v>
      </c>
      <c r="T51" t="s">
        <v>411</v>
      </c>
      <c r="U51" t="s">
        <v>42</v>
      </c>
      <c r="V51" t="s">
        <v>412</v>
      </c>
      <c r="X51" t="s">
        <v>414</v>
      </c>
      <c r="Y51" t="b">
        <f t="shared" si="0"/>
        <v>0</v>
      </c>
    </row>
    <row r="52" spans="1:25">
      <c r="A52" s="11" t="s">
        <v>9939</v>
      </c>
      <c r="B52" t="s">
        <v>16</v>
      </c>
      <c r="C52" s="2" t="s">
        <v>8347</v>
      </c>
      <c r="D52" t="s">
        <v>416</v>
      </c>
      <c r="E52" t="s">
        <v>415</v>
      </c>
      <c r="F52">
        <v>1</v>
      </c>
      <c r="H52" t="s">
        <v>422</v>
      </c>
      <c r="I52">
        <v>0</v>
      </c>
      <c r="J52" t="s">
        <v>9265</v>
      </c>
      <c r="K52" t="s">
        <v>417</v>
      </c>
      <c r="M52" t="str">
        <f>"03630242"</f>
        <v>03630242</v>
      </c>
      <c r="N52" s="2" t="str">
        <f>"20080101"</f>
        <v>20080101</v>
      </c>
      <c r="O52">
        <v>47</v>
      </c>
      <c r="P52">
        <v>1</v>
      </c>
      <c r="Q52">
        <v>45</v>
      </c>
      <c r="R52">
        <v>20</v>
      </c>
      <c r="S52" t="s">
        <v>418</v>
      </c>
      <c r="T52" t="s">
        <v>419</v>
      </c>
      <c r="U52" t="s">
        <v>420</v>
      </c>
      <c r="V52" t="s">
        <v>421</v>
      </c>
      <c r="X52" t="s">
        <v>423</v>
      </c>
      <c r="Y52" t="b">
        <f t="shared" si="0"/>
        <v>0</v>
      </c>
    </row>
    <row r="53" spans="1:25">
      <c r="A53" s="11" t="s">
        <v>9939</v>
      </c>
      <c r="B53" t="s">
        <v>69</v>
      </c>
      <c r="C53" s="2" t="s">
        <v>8334</v>
      </c>
      <c r="D53" t="s">
        <v>425</v>
      </c>
      <c r="E53" t="s">
        <v>424</v>
      </c>
      <c r="F53">
        <v>1</v>
      </c>
      <c r="H53" t="s">
        <v>428</v>
      </c>
      <c r="I53">
        <v>1</v>
      </c>
      <c r="K53" t="s">
        <v>101</v>
      </c>
      <c r="L53" t="str">
        <f>"9781267990532"</f>
        <v>9781267990532</v>
      </c>
      <c r="M53" t="str">
        <f>"04194217"</f>
        <v>04194217</v>
      </c>
      <c r="N53" s="2" t="str">
        <f>"20140101"</f>
        <v>20140101</v>
      </c>
      <c r="O53">
        <v>74</v>
      </c>
      <c r="P53" t="s">
        <v>284</v>
      </c>
      <c r="S53" t="s">
        <v>426</v>
      </c>
      <c r="U53" t="s">
        <v>68</v>
      </c>
      <c r="V53" t="s">
        <v>427</v>
      </c>
      <c r="X53" t="s">
        <v>429</v>
      </c>
      <c r="Y53" t="b">
        <f t="shared" si="0"/>
        <v>0</v>
      </c>
    </row>
    <row r="54" spans="1:25">
      <c r="A54" s="11" t="s">
        <v>9939</v>
      </c>
      <c r="B54" t="s">
        <v>16</v>
      </c>
      <c r="C54" s="2" t="s">
        <v>8334</v>
      </c>
      <c r="D54" t="s">
        <v>431</v>
      </c>
      <c r="E54" t="s">
        <v>430</v>
      </c>
      <c r="F54">
        <v>1</v>
      </c>
      <c r="H54" t="s">
        <v>436</v>
      </c>
      <c r="I54">
        <v>1</v>
      </c>
      <c r="K54" t="s">
        <v>432</v>
      </c>
      <c r="M54" t="str">
        <f>"03090566"</f>
        <v>03090566</v>
      </c>
      <c r="N54" s="2" t="str">
        <f>"20140101"</f>
        <v>20140101</v>
      </c>
      <c r="O54">
        <v>48</v>
      </c>
      <c r="P54" s="1">
        <v>44478</v>
      </c>
      <c r="Q54" s="1">
        <v>1579</v>
      </c>
      <c r="R54">
        <v>21</v>
      </c>
      <c r="S54" t="s">
        <v>433</v>
      </c>
      <c r="T54" t="s">
        <v>434</v>
      </c>
      <c r="U54" t="s">
        <v>78</v>
      </c>
      <c r="V54" t="s">
        <v>435</v>
      </c>
      <c r="X54" t="s">
        <v>437</v>
      </c>
      <c r="Y54" t="b">
        <f t="shared" si="0"/>
        <v>0</v>
      </c>
    </row>
    <row r="55" spans="1:25">
      <c r="A55" s="11" t="s">
        <v>9939</v>
      </c>
      <c r="B55" t="s">
        <v>16</v>
      </c>
      <c r="C55" s="2" t="s">
        <v>8339</v>
      </c>
      <c r="D55" t="s">
        <v>439</v>
      </c>
      <c r="E55" t="s">
        <v>438</v>
      </c>
      <c r="F55">
        <v>1</v>
      </c>
      <c r="H55" t="s">
        <v>443</v>
      </c>
      <c r="I55">
        <v>1</v>
      </c>
      <c r="K55" t="s">
        <v>40</v>
      </c>
      <c r="M55" t="str">
        <f>"15571912"</f>
        <v>15571912</v>
      </c>
      <c r="N55" s="2" t="str">
        <f>"20150401"</f>
        <v>20150401</v>
      </c>
      <c r="O55">
        <v>17</v>
      </c>
      <c r="P55">
        <v>2</v>
      </c>
      <c r="Q55">
        <v>400</v>
      </c>
      <c r="R55">
        <v>8</v>
      </c>
      <c r="S55" t="s">
        <v>440</v>
      </c>
      <c r="T55" t="s">
        <v>441</v>
      </c>
      <c r="U55" t="s">
        <v>42</v>
      </c>
      <c r="V55" t="s">
        <v>442</v>
      </c>
      <c r="X55" t="s">
        <v>444</v>
      </c>
      <c r="Y55" t="b">
        <f t="shared" si="0"/>
        <v>0</v>
      </c>
    </row>
    <row r="56" spans="1:25" hidden="1">
      <c r="A56" s="11" t="s">
        <v>9939</v>
      </c>
      <c r="B56" t="s">
        <v>69</v>
      </c>
      <c r="C56" s="2" t="s">
        <v>8349</v>
      </c>
      <c r="D56" t="s">
        <v>446</v>
      </c>
      <c r="E56" t="s">
        <v>445</v>
      </c>
      <c r="H56" t="s">
        <v>450</v>
      </c>
      <c r="K56" t="s">
        <v>65</v>
      </c>
      <c r="L56" t="str">
        <f>"9780438374744"</f>
        <v>9780438374744</v>
      </c>
      <c r="M56" t="str">
        <f>"04194209"</f>
        <v>04194209</v>
      </c>
      <c r="N56" s="2" t="str">
        <f>"20190101"</f>
        <v>20190101</v>
      </c>
      <c r="O56">
        <v>80</v>
      </c>
      <c r="P56" t="s">
        <v>447</v>
      </c>
      <c r="S56" t="s">
        <v>448</v>
      </c>
      <c r="U56" t="s">
        <v>68</v>
      </c>
      <c r="V56" t="s">
        <v>449</v>
      </c>
      <c r="X56" t="s">
        <v>451</v>
      </c>
      <c r="Y56" t="b">
        <f t="shared" si="0"/>
        <v>1</v>
      </c>
    </row>
    <row r="57" spans="1:25">
      <c r="A57" s="11" t="s">
        <v>9939</v>
      </c>
      <c r="B57" t="s">
        <v>16</v>
      </c>
      <c r="C57" s="2" t="s">
        <v>8337</v>
      </c>
      <c r="D57" t="s">
        <v>453</v>
      </c>
      <c r="E57" t="s">
        <v>452</v>
      </c>
      <c r="F57">
        <v>1</v>
      </c>
      <c r="H57" t="s">
        <v>457</v>
      </c>
      <c r="I57">
        <v>1</v>
      </c>
      <c r="K57" t="s">
        <v>40</v>
      </c>
      <c r="M57" t="str">
        <f>"15571912"</f>
        <v>15571912</v>
      </c>
      <c r="N57" s="2" t="str">
        <f>"20130601"</f>
        <v>20130601</v>
      </c>
      <c r="O57">
        <v>15</v>
      </c>
      <c r="P57">
        <v>3</v>
      </c>
      <c r="Q57">
        <v>462</v>
      </c>
      <c r="R57">
        <v>10</v>
      </c>
      <c r="S57" t="s">
        <v>454</v>
      </c>
      <c r="T57" t="s">
        <v>455</v>
      </c>
      <c r="U57" t="s">
        <v>42</v>
      </c>
      <c r="V57" t="s">
        <v>456</v>
      </c>
      <c r="X57" t="s">
        <v>458</v>
      </c>
      <c r="Y57" t="b">
        <f t="shared" si="0"/>
        <v>0</v>
      </c>
    </row>
    <row r="58" spans="1:25">
      <c r="A58" s="11" t="s">
        <v>9939</v>
      </c>
      <c r="B58" t="s">
        <v>16</v>
      </c>
      <c r="C58" s="2" t="s">
        <v>8338</v>
      </c>
      <c r="D58" t="s">
        <v>460</v>
      </c>
      <c r="E58" t="s">
        <v>459</v>
      </c>
      <c r="F58">
        <v>1</v>
      </c>
      <c r="H58" t="s">
        <v>466</v>
      </c>
      <c r="I58">
        <v>1</v>
      </c>
      <c r="K58" t="s">
        <v>461</v>
      </c>
      <c r="M58" t="str">
        <f>"09523871"</f>
        <v>09523871</v>
      </c>
      <c r="N58" s="2" t="str">
        <f>"20061001"</f>
        <v>20061001</v>
      </c>
      <c r="O58">
        <v>19</v>
      </c>
      <c r="P58">
        <v>5</v>
      </c>
      <c r="Q58">
        <v>383</v>
      </c>
      <c r="R58">
        <v>11</v>
      </c>
      <c r="S58" t="s">
        <v>462</v>
      </c>
      <c r="T58" t="s">
        <v>463</v>
      </c>
      <c r="U58" t="s">
        <v>464</v>
      </c>
      <c r="V58" t="s">
        <v>465</v>
      </c>
      <c r="X58" t="s">
        <v>467</v>
      </c>
      <c r="Y58" t="b">
        <f t="shared" si="0"/>
        <v>0</v>
      </c>
    </row>
    <row r="59" spans="1:25">
      <c r="A59" s="11" t="s">
        <v>9939</v>
      </c>
      <c r="B59" t="s">
        <v>16</v>
      </c>
      <c r="C59" s="2" t="s">
        <v>8350</v>
      </c>
      <c r="D59" t="s">
        <v>469</v>
      </c>
      <c r="E59" t="s">
        <v>468</v>
      </c>
      <c r="F59">
        <v>1</v>
      </c>
      <c r="H59" t="s">
        <v>474</v>
      </c>
      <c r="I59">
        <v>1</v>
      </c>
      <c r="K59" t="s">
        <v>470</v>
      </c>
      <c r="M59" t="str">
        <f>"00029432"</f>
        <v>00029432</v>
      </c>
      <c r="N59" s="2" t="str">
        <f>"20210101"</f>
        <v>20210101</v>
      </c>
      <c r="O59">
        <v>91</v>
      </c>
      <c r="P59">
        <v>1</v>
      </c>
      <c r="Q59">
        <v>109</v>
      </c>
      <c r="R59">
        <v>11</v>
      </c>
      <c r="S59" t="s">
        <v>471</v>
      </c>
      <c r="T59" t="s">
        <v>472</v>
      </c>
      <c r="U59" t="s">
        <v>183</v>
      </c>
      <c r="V59" t="s">
        <v>473</v>
      </c>
      <c r="X59" t="s">
        <v>475</v>
      </c>
      <c r="Y59" t="b">
        <f t="shared" si="0"/>
        <v>0</v>
      </c>
    </row>
    <row r="60" spans="1:25" hidden="1">
      <c r="A60" s="11" t="s">
        <v>9939</v>
      </c>
      <c r="B60" t="s">
        <v>16</v>
      </c>
      <c r="C60" s="2" t="s">
        <v>8349</v>
      </c>
      <c r="D60" t="s">
        <v>477</v>
      </c>
      <c r="E60" t="s">
        <v>476</v>
      </c>
      <c r="H60" t="s">
        <v>481</v>
      </c>
      <c r="K60" t="s">
        <v>132</v>
      </c>
      <c r="M60" t="str">
        <f>"01471767"</f>
        <v>01471767</v>
      </c>
      <c r="N60" s="2" t="str">
        <f>"20190101"</f>
        <v>20190101</v>
      </c>
      <c r="O60">
        <v>68</v>
      </c>
      <c r="Q60">
        <v>67</v>
      </c>
      <c r="R60">
        <v>10</v>
      </c>
      <c r="S60" t="s">
        <v>478</v>
      </c>
      <c r="T60" t="s">
        <v>479</v>
      </c>
      <c r="U60" t="s">
        <v>34</v>
      </c>
      <c r="V60" t="s">
        <v>480</v>
      </c>
      <c r="X60" t="s">
        <v>482</v>
      </c>
      <c r="Y60" t="b">
        <f t="shared" si="0"/>
        <v>1</v>
      </c>
    </row>
    <row r="61" spans="1:25">
      <c r="A61" s="11" t="s">
        <v>9939</v>
      </c>
      <c r="B61" t="s">
        <v>16</v>
      </c>
      <c r="C61" s="2" t="s">
        <v>8335</v>
      </c>
      <c r="D61" t="s">
        <v>484</v>
      </c>
      <c r="E61" t="s">
        <v>483</v>
      </c>
      <c r="F61">
        <v>1</v>
      </c>
      <c r="H61" t="s">
        <v>489</v>
      </c>
      <c r="I61">
        <v>1</v>
      </c>
      <c r="K61" t="s">
        <v>485</v>
      </c>
      <c r="M61" t="str">
        <f>"10964045"</f>
        <v>10964045</v>
      </c>
      <c r="N61" s="2" t="str">
        <f>"20040401"</f>
        <v>20040401</v>
      </c>
      <c r="O61">
        <v>6</v>
      </c>
      <c r="P61">
        <v>2</v>
      </c>
      <c r="Q61">
        <v>51</v>
      </c>
      <c r="R61">
        <v>12</v>
      </c>
      <c r="S61" t="s">
        <v>486</v>
      </c>
      <c r="T61" t="s">
        <v>487</v>
      </c>
      <c r="U61" t="s">
        <v>42</v>
      </c>
      <c r="V61" t="s">
        <v>488</v>
      </c>
      <c r="X61" t="s">
        <v>490</v>
      </c>
      <c r="Y61" t="b">
        <f t="shared" si="0"/>
        <v>0</v>
      </c>
    </row>
    <row r="62" spans="1:25">
      <c r="A62" s="11" t="s">
        <v>9939</v>
      </c>
      <c r="B62" t="s">
        <v>16</v>
      </c>
      <c r="C62" s="2" t="s">
        <v>8334</v>
      </c>
      <c r="D62" t="s">
        <v>492</v>
      </c>
      <c r="E62" t="s">
        <v>491</v>
      </c>
      <c r="F62">
        <v>1</v>
      </c>
      <c r="H62" t="s">
        <v>496</v>
      </c>
      <c r="I62">
        <v>1</v>
      </c>
      <c r="K62" t="s">
        <v>197</v>
      </c>
      <c r="M62" t="str">
        <f>"10436596"</f>
        <v>10436596</v>
      </c>
      <c r="N62" s="2" t="str">
        <f>"20140701"</f>
        <v>20140701</v>
      </c>
      <c r="O62">
        <v>25</v>
      </c>
      <c r="P62">
        <v>3</v>
      </c>
      <c r="Q62">
        <v>273</v>
      </c>
      <c r="R62">
        <v>8</v>
      </c>
      <c r="S62" t="s">
        <v>493</v>
      </c>
      <c r="T62" t="s">
        <v>494</v>
      </c>
      <c r="U62" t="s">
        <v>15</v>
      </c>
      <c r="V62" t="s">
        <v>495</v>
      </c>
      <c r="X62" t="s">
        <v>497</v>
      </c>
      <c r="Y62" t="b">
        <f t="shared" si="0"/>
        <v>0</v>
      </c>
    </row>
    <row r="63" spans="1:25">
      <c r="A63" s="11" t="s">
        <v>9939</v>
      </c>
      <c r="B63" t="s">
        <v>16</v>
      </c>
      <c r="C63" s="2" t="s">
        <v>8337</v>
      </c>
      <c r="D63" t="s">
        <v>499</v>
      </c>
      <c r="E63" t="s">
        <v>498</v>
      </c>
      <c r="F63">
        <v>1</v>
      </c>
      <c r="H63" t="s">
        <v>503</v>
      </c>
      <c r="I63">
        <v>1</v>
      </c>
      <c r="K63" t="s">
        <v>40</v>
      </c>
      <c r="M63" t="str">
        <f>"15571912"</f>
        <v>15571912</v>
      </c>
      <c r="N63" s="2" t="str">
        <f>"20130601"</f>
        <v>20130601</v>
      </c>
      <c r="O63">
        <v>15</v>
      </c>
      <c r="P63">
        <v>3</v>
      </c>
      <c r="Q63">
        <v>525</v>
      </c>
      <c r="R63">
        <v>8</v>
      </c>
      <c r="S63" t="s">
        <v>500</v>
      </c>
      <c r="T63" t="s">
        <v>501</v>
      </c>
      <c r="U63" t="s">
        <v>42</v>
      </c>
      <c r="V63" t="s">
        <v>502</v>
      </c>
      <c r="X63" t="s">
        <v>504</v>
      </c>
      <c r="Y63" t="b">
        <f t="shared" si="0"/>
        <v>0</v>
      </c>
    </row>
    <row r="64" spans="1:25">
      <c r="A64" s="11" t="s">
        <v>9939</v>
      </c>
      <c r="B64" t="s">
        <v>16</v>
      </c>
      <c r="C64" s="2" t="s">
        <v>8351</v>
      </c>
      <c r="D64" t="s">
        <v>506</v>
      </c>
      <c r="E64" t="s">
        <v>505</v>
      </c>
      <c r="F64">
        <v>1</v>
      </c>
      <c r="H64" t="s">
        <v>512</v>
      </c>
      <c r="I64">
        <v>1</v>
      </c>
      <c r="K64" t="s">
        <v>507</v>
      </c>
      <c r="M64" t="str">
        <f>"00969753"</f>
        <v>00969753</v>
      </c>
      <c r="N64" s="2" t="str">
        <f>"19480101"</f>
        <v>19480101</v>
      </c>
      <c r="O64">
        <v>62</v>
      </c>
      <c r="P64">
        <v>5</v>
      </c>
      <c r="Q64" t="s">
        <v>508</v>
      </c>
      <c r="S64" t="s">
        <v>509</v>
      </c>
      <c r="T64" t="s">
        <v>510</v>
      </c>
      <c r="U64" t="s">
        <v>59</v>
      </c>
      <c r="V64" t="s">
        <v>511</v>
      </c>
      <c r="X64" t="s">
        <v>513</v>
      </c>
      <c r="Y64" t="b">
        <f t="shared" si="0"/>
        <v>0</v>
      </c>
    </row>
    <row r="65" spans="1:25">
      <c r="A65" s="11" t="s">
        <v>9939</v>
      </c>
      <c r="B65" t="s">
        <v>69</v>
      </c>
      <c r="C65" s="2" t="s">
        <v>8340</v>
      </c>
      <c r="D65" t="s">
        <v>515</v>
      </c>
      <c r="E65" t="s">
        <v>514</v>
      </c>
      <c r="F65">
        <v>1</v>
      </c>
      <c r="H65" t="s">
        <v>519</v>
      </c>
      <c r="I65">
        <v>1</v>
      </c>
      <c r="K65" t="s">
        <v>101</v>
      </c>
      <c r="L65" t="str">
        <f>"9780355397178"</f>
        <v>9780355397178</v>
      </c>
      <c r="M65" t="str">
        <f>"04194217"</f>
        <v>04194217</v>
      </c>
      <c r="N65" s="2" t="str">
        <f>"20180101"</f>
        <v>20180101</v>
      </c>
      <c r="O65">
        <v>79</v>
      </c>
      <c r="P65" t="s">
        <v>516</v>
      </c>
      <c r="S65" t="s">
        <v>517</v>
      </c>
      <c r="U65" t="s">
        <v>68</v>
      </c>
      <c r="V65" t="s">
        <v>518</v>
      </c>
      <c r="X65" t="s">
        <v>520</v>
      </c>
      <c r="Y65" t="b">
        <f t="shared" si="0"/>
        <v>0</v>
      </c>
    </row>
    <row r="66" spans="1:25">
      <c r="A66" s="11" t="s">
        <v>9939</v>
      </c>
      <c r="B66" t="s">
        <v>16</v>
      </c>
      <c r="C66" s="2" t="s">
        <v>8348</v>
      </c>
      <c r="D66" t="s">
        <v>522</v>
      </c>
      <c r="E66" t="s">
        <v>521</v>
      </c>
      <c r="F66">
        <v>1</v>
      </c>
      <c r="H66" t="s">
        <v>526</v>
      </c>
      <c r="I66">
        <v>1</v>
      </c>
      <c r="K66" t="s">
        <v>205</v>
      </c>
      <c r="M66" t="str">
        <f>"01607715"</f>
        <v>01607715</v>
      </c>
      <c r="N66" s="2" t="str">
        <f>"20050401"</f>
        <v>20050401</v>
      </c>
      <c r="O66">
        <v>28</v>
      </c>
      <c r="P66">
        <v>2</v>
      </c>
      <c r="Q66">
        <v>191</v>
      </c>
      <c r="R66">
        <v>9</v>
      </c>
      <c r="S66" t="s">
        <v>523</v>
      </c>
      <c r="T66" t="s">
        <v>524</v>
      </c>
      <c r="U66" t="s">
        <v>42</v>
      </c>
      <c r="V66" t="s">
        <v>525</v>
      </c>
      <c r="X66" t="s">
        <v>527</v>
      </c>
      <c r="Y66" t="b">
        <f t="shared" ref="Y66:Y129" si="1">COUNTIF(X:X, X66)&gt;1</f>
        <v>0</v>
      </c>
    </row>
    <row r="67" spans="1:25" hidden="1">
      <c r="A67" s="11" t="s">
        <v>9939</v>
      </c>
      <c r="B67" t="s">
        <v>69</v>
      </c>
      <c r="C67" s="2" t="s">
        <v>8342</v>
      </c>
      <c r="D67" t="s">
        <v>529</v>
      </c>
      <c r="E67" t="s">
        <v>528</v>
      </c>
      <c r="H67" t="s">
        <v>533</v>
      </c>
      <c r="K67" t="s">
        <v>101</v>
      </c>
      <c r="L67" t="str">
        <f>"9781124818665"</f>
        <v>9781124818665</v>
      </c>
      <c r="M67" t="str">
        <f>"04194217"</f>
        <v>04194217</v>
      </c>
      <c r="N67" s="2" t="str">
        <f>"20120101"</f>
        <v>20120101</v>
      </c>
      <c r="O67">
        <v>72</v>
      </c>
      <c r="P67" t="s">
        <v>530</v>
      </c>
      <c r="Q67">
        <v>7112</v>
      </c>
      <c r="R67">
        <v>1</v>
      </c>
      <c r="S67" t="s">
        <v>531</v>
      </c>
      <c r="U67" t="s">
        <v>68</v>
      </c>
      <c r="V67" t="s">
        <v>532</v>
      </c>
      <c r="X67" t="s">
        <v>534</v>
      </c>
      <c r="Y67" t="b">
        <f t="shared" si="1"/>
        <v>1</v>
      </c>
    </row>
    <row r="68" spans="1:25">
      <c r="A68" s="11" t="s">
        <v>9939</v>
      </c>
      <c r="B68" t="s">
        <v>16</v>
      </c>
      <c r="C68" s="2" t="s">
        <v>8342</v>
      </c>
      <c r="D68" t="s">
        <v>536</v>
      </c>
      <c r="E68" t="s">
        <v>535</v>
      </c>
      <c r="F68">
        <v>1</v>
      </c>
      <c r="H68" t="s">
        <v>540</v>
      </c>
      <c r="I68">
        <v>1</v>
      </c>
      <c r="K68" t="s">
        <v>252</v>
      </c>
      <c r="M68" t="str">
        <f>"00220221"</f>
        <v>00220221</v>
      </c>
      <c r="N68" s="2" t="str">
        <f>"20121001"</f>
        <v>20121001</v>
      </c>
      <c r="O68">
        <v>43</v>
      </c>
      <c r="P68">
        <v>7</v>
      </c>
      <c r="Q68">
        <v>1110</v>
      </c>
      <c r="R68">
        <v>21</v>
      </c>
      <c r="S68" t="s">
        <v>537</v>
      </c>
      <c r="T68" t="s">
        <v>538</v>
      </c>
      <c r="U68" t="s">
        <v>15</v>
      </c>
      <c r="V68" t="s">
        <v>539</v>
      </c>
      <c r="X68" t="s">
        <v>541</v>
      </c>
      <c r="Y68" t="b">
        <f t="shared" si="1"/>
        <v>0</v>
      </c>
    </row>
    <row r="69" spans="1:25">
      <c r="A69" s="11" t="s">
        <v>9939</v>
      </c>
      <c r="B69" t="s">
        <v>16</v>
      </c>
      <c r="C69" s="2" t="s">
        <v>8346</v>
      </c>
      <c r="D69" t="s">
        <v>543</v>
      </c>
      <c r="E69" t="s">
        <v>542</v>
      </c>
      <c r="F69">
        <v>1</v>
      </c>
      <c r="H69" t="s">
        <v>547</v>
      </c>
      <c r="I69">
        <v>1</v>
      </c>
      <c r="K69" t="s">
        <v>40</v>
      </c>
      <c r="M69" t="str">
        <f>"15571912"</f>
        <v>15571912</v>
      </c>
      <c r="N69" s="2" t="str">
        <f>"20110201"</f>
        <v>20110201</v>
      </c>
      <c r="O69">
        <v>13</v>
      </c>
      <c r="P69">
        <v>1</v>
      </c>
      <c r="Q69">
        <v>119</v>
      </c>
      <c r="R69">
        <v>8</v>
      </c>
      <c r="S69" t="s">
        <v>544</v>
      </c>
      <c r="T69" t="s">
        <v>545</v>
      </c>
      <c r="U69" t="s">
        <v>42</v>
      </c>
      <c r="V69" t="s">
        <v>546</v>
      </c>
      <c r="X69" t="s">
        <v>548</v>
      </c>
      <c r="Y69" t="b">
        <f t="shared" si="1"/>
        <v>0</v>
      </c>
    </row>
    <row r="70" spans="1:25">
      <c r="A70" s="11" t="s">
        <v>9939</v>
      </c>
      <c r="B70" t="s">
        <v>16</v>
      </c>
      <c r="C70" s="2" t="s">
        <v>8349</v>
      </c>
      <c r="D70" t="s">
        <v>550</v>
      </c>
      <c r="E70" t="s">
        <v>549</v>
      </c>
      <c r="F70">
        <v>1</v>
      </c>
      <c r="H70" t="s">
        <v>556</v>
      </c>
      <c r="I70">
        <v>1</v>
      </c>
      <c r="K70" t="s">
        <v>551</v>
      </c>
      <c r="M70" t="str">
        <f>"16641078"</f>
        <v>16641078</v>
      </c>
      <c r="N70" s="2" t="str">
        <f>"20190528"</f>
        <v>20190528</v>
      </c>
      <c r="O70">
        <v>10</v>
      </c>
      <c r="S70" t="s">
        <v>552</v>
      </c>
      <c r="T70" t="s">
        <v>553</v>
      </c>
      <c r="U70" t="s">
        <v>554</v>
      </c>
      <c r="V70" t="s">
        <v>555</v>
      </c>
      <c r="X70" t="s">
        <v>557</v>
      </c>
      <c r="Y70" t="b">
        <f t="shared" si="1"/>
        <v>0</v>
      </c>
    </row>
    <row r="71" spans="1:25">
      <c r="A71" s="11" t="s">
        <v>9939</v>
      </c>
      <c r="B71" t="s">
        <v>16</v>
      </c>
      <c r="C71" s="2" t="s">
        <v>8343</v>
      </c>
      <c r="D71" t="s">
        <v>559</v>
      </c>
      <c r="E71" t="s">
        <v>558</v>
      </c>
      <c r="F71">
        <v>1</v>
      </c>
      <c r="H71" t="s">
        <v>565</v>
      </c>
      <c r="I71">
        <v>1</v>
      </c>
      <c r="K71" t="s">
        <v>560</v>
      </c>
      <c r="M71" t="str">
        <f>"1471244X"</f>
        <v>1471244X</v>
      </c>
      <c r="N71" s="2" t="str">
        <f>"20170719"</f>
        <v>20170719</v>
      </c>
      <c r="O71">
        <v>17</v>
      </c>
      <c r="S71" t="s">
        <v>561</v>
      </c>
      <c r="T71" t="s">
        <v>562</v>
      </c>
      <c r="U71" t="s">
        <v>563</v>
      </c>
      <c r="V71" t="s">
        <v>564</v>
      </c>
      <c r="X71" t="s">
        <v>566</v>
      </c>
      <c r="Y71" t="b">
        <f t="shared" si="1"/>
        <v>0</v>
      </c>
    </row>
    <row r="72" spans="1:25">
      <c r="A72" s="11" t="s">
        <v>9939</v>
      </c>
      <c r="B72" t="s">
        <v>16</v>
      </c>
      <c r="C72" s="2" t="s">
        <v>8346</v>
      </c>
      <c r="D72" t="s">
        <v>568</v>
      </c>
      <c r="E72" t="s">
        <v>567</v>
      </c>
      <c r="F72">
        <v>1</v>
      </c>
      <c r="H72" t="s">
        <v>572</v>
      </c>
      <c r="I72">
        <v>1</v>
      </c>
      <c r="K72" t="s">
        <v>109</v>
      </c>
      <c r="M72" t="str">
        <f>"10943412"</f>
        <v>10943412</v>
      </c>
      <c r="N72" s="2" t="str">
        <f>"20111001"</f>
        <v>20111001</v>
      </c>
      <c r="O72">
        <v>38</v>
      </c>
      <c r="P72">
        <v>4</v>
      </c>
      <c r="Q72">
        <v>526</v>
      </c>
      <c r="R72">
        <v>8</v>
      </c>
      <c r="S72" t="s">
        <v>569</v>
      </c>
      <c r="T72" t="s">
        <v>570</v>
      </c>
      <c r="U72" t="s">
        <v>42</v>
      </c>
      <c r="V72" t="s">
        <v>571</v>
      </c>
      <c r="X72" t="s">
        <v>573</v>
      </c>
      <c r="Y72" t="b">
        <f t="shared" si="1"/>
        <v>0</v>
      </c>
    </row>
    <row r="73" spans="1:25">
      <c r="A73" s="11" t="s">
        <v>9939</v>
      </c>
      <c r="B73" t="s">
        <v>16</v>
      </c>
      <c r="C73" s="2" t="s">
        <v>8342</v>
      </c>
      <c r="D73" t="s">
        <v>575</v>
      </c>
      <c r="E73" t="s">
        <v>574</v>
      </c>
      <c r="F73">
        <v>1</v>
      </c>
      <c r="H73" t="s">
        <v>580</v>
      </c>
      <c r="I73">
        <v>1</v>
      </c>
      <c r="K73" t="s">
        <v>576</v>
      </c>
      <c r="M73" t="str">
        <f>"10911359"</f>
        <v>10911359</v>
      </c>
      <c r="N73" s="2" t="str">
        <f>"20120101"</f>
        <v>20120101</v>
      </c>
      <c r="O73">
        <v>22</v>
      </c>
      <c r="P73">
        <v>1</v>
      </c>
      <c r="Q73">
        <v>20</v>
      </c>
      <c r="R73">
        <v>19</v>
      </c>
      <c r="S73" t="s">
        <v>577</v>
      </c>
      <c r="T73" t="s">
        <v>578</v>
      </c>
      <c r="U73" t="s">
        <v>87</v>
      </c>
      <c r="V73" t="s">
        <v>579</v>
      </c>
      <c r="X73" t="s">
        <v>581</v>
      </c>
      <c r="Y73" t="b">
        <f t="shared" si="1"/>
        <v>0</v>
      </c>
    </row>
    <row r="74" spans="1:25" hidden="1">
      <c r="A74" s="11" t="s">
        <v>9939</v>
      </c>
      <c r="B74" t="s">
        <v>16</v>
      </c>
      <c r="C74" s="2" t="s">
        <v>8339</v>
      </c>
      <c r="D74" t="s">
        <v>583</v>
      </c>
      <c r="E74" t="s">
        <v>582</v>
      </c>
      <c r="H74" t="s">
        <v>587</v>
      </c>
      <c r="K74" t="s">
        <v>155</v>
      </c>
      <c r="M74" t="str">
        <f>"00910562"</f>
        <v>00910562</v>
      </c>
      <c r="N74" s="2" t="str">
        <f>"20151201"</f>
        <v>20151201</v>
      </c>
      <c r="O74">
        <v>56</v>
      </c>
      <c r="P74" s="1">
        <v>44289</v>
      </c>
      <c r="Q74" s="1">
        <v>395</v>
      </c>
      <c r="R74">
        <v>13</v>
      </c>
      <c r="S74" t="s">
        <v>584</v>
      </c>
      <c r="T74" t="s">
        <v>585</v>
      </c>
      <c r="U74" t="s">
        <v>42</v>
      </c>
      <c r="V74" t="s">
        <v>586</v>
      </c>
      <c r="X74" t="s">
        <v>588</v>
      </c>
      <c r="Y74" t="b">
        <f t="shared" si="1"/>
        <v>1</v>
      </c>
    </row>
    <row r="75" spans="1:25">
      <c r="A75" s="11" t="s">
        <v>9939</v>
      </c>
      <c r="B75" t="s">
        <v>16</v>
      </c>
      <c r="C75" s="2" t="s">
        <v>8346</v>
      </c>
      <c r="D75" t="s">
        <v>590</v>
      </c>
      <c r="E75" t="s">
        <v>589</v>
      </c>
      <c r="F75">
        <v>1</v>
      </c>
      <c r="H75" t="s">
        <v>594</v>
      </c>
      <c r="I75">
        <v>1</v>
      </c>
      <c r="K75" t="s">
        <v>93</v>
      </c>
      <c r="M75" t="str">
        <f>"00207640"</f>
        <v>00207640</v>
      </c>
      <c r="N75" s="2" t="str">
        <f>"20110301"</f>
        <v>20110301</v>
      </c>
      <c r="O75">
        <v>57</v>
      </c>
      <c r="P75">
        <v>2</v>
      </c>
      <c r="Q75">
        <v>132</v>
      </c>
      <c r="R75">
        <v>12</v>
      </c>
      <c r="S75" t="s">
        <v>591</v>
      </c>
      <c r="T75" t="s">
        <v>592</v>
      </c>
      <c r="U75" t="s">
        <v>15</v>
      </c>
      <c r="V75" t="s">
        <v>593</v>
      </c>
      <c r="X75" t="s">
        <v>595</v>
      </c>
      <c r="Y75" t="b">
        <f t="shared" si="1"/>
        <v>0</v>
      </c>
    </row>
    <row r="76" spans="1:25" hidden="1">
      <c r="A76" s="11" t="s">
        <v>9939</v>
      </c>
      <c r="B76" t="s">
        <v>16</v>
      </c>
      <c r="C76" s="2" t="s">
        <v>8349</v>
      </c>
      <c r="D76" t="s">
        <v>597</v>
      </c>
      <c r="E76" t="s">
        <v>596</v>
      </c>
      <c r="H76" t="s">
        <v>601</v>
      </c>
      <c r="K76" t="s">
        <v>132</v>
      </c>
      <c r="M76" t="str">
        <f>"01471767"</f>
        <v>01471767</v>
      </c>
      <c r="N76" s="2" t="str">
        <f>"20190901"</f>
        <v>20190901</v>
      </c>
      <c r="O76">
        <v>72</v>
      </c>
      <c r="Q76">
        <v>45</v>
      </c>
      <c r="R76">
        <v>16</v>
      </c>
      <c r="S76" t="s">
        <v>598</v>
      </c>
      <c r="T76" t="s">
        <v>599</v>
      </c>
      <c r="U76" t="s">
        <v>34</v>
      </c>
      <c r="V76" t="s">
        <v>600</v>
      </c>
      <c r="X76" t="s">
        <v>602</v>
      </c>
      <c r="Y76" t="b">
        <f t="shared" si="1"/>
        <v>1</v>
      </c>
    </row>
    <row r="77" spans="1:25" hidden="1">
      <c r="A77" s="11" t="s">
        <v>9939</v>
      </c>
      <c r="B77" t="s">
        <v>16</v>
      </c>
      <c r="C77" s="2" t="s">
        <v>8352</v>
      </c>
      <c r="D77" t="s">
        <v>604</v>
      </c>
      <c r="E77" t="s">
        <v>603</v>
      </c>
      <c r="H77" t="s">
        <v>609</v>
      </c>
      <c r="K77" t="s">
        <v>605</v>
      </c>
      <c r="M77" t="str">
        <f>"00279684"</f>
        <v>00279684</v>
      </c>
      <c r="N77" s="2" t="str">
        <f>"20030701"</f>
        <v>20030701</v>
      </c>
      <c r="O77">
        <v>95</v>
      </c>
      <c r="P77">
        <v>7</v>
      </c>
      <c r="Q77">
        <v>560</v>
      </c>
      <c r="R77">
        <v>10</v>
      </c>
      <c r="S77" t="s">
        <v>606</v>
      </c>
      <c r="U77" t="s">
        <v>607</v>
      </c>
      <c r="V77" t="s">
        <v>608</v>
      </c>
      <c r="X77" t="s">
        <v>610</v>
      </c>
      <c r="Y77" t="b">
        <f t="shared" si="1"/>
        <v>1</v>
      </c>
    </row>
    <row r="78" spans="1:25" hidden="1">
      <c r="A78" s="11" t="s">
        <v>9939</v>
      </c>
      <c r="B78" t="s">
        <v>69</v>
      </c>
      <c r="C78" s="2" t="s">
        <v>8342</v>
      </c>
      <c r="D78" t="s">
        <v>612</v>
      </c>
      <c r="E78" t="s">
        <v>611</v>
      </c>
      <c r="H78" t="s">
        <v>616</v>
      </c>
      <c r="K78" t="s">
        <v>101</v>
      </c>
      <c r="L78" t="str">
        <f>"9781124900520"</f>
        <v>9781124900520</v>
      </c>
      <c r="M78" t="str">
        <f>"04194217"</f>
        <v>04194217</v>
      </c>
      <c r="N78" s="2" t="str">
        <f>"20120101"</f>
        <v>20120101</v>
      </c>
      <c r="O78">
        <v>72</v>
      </c>
      <c r="P78" t="s">
        <v>613</v>
      </c>
      <c r="Q78">
        <v>7699</v>
      </c>
      <c r="R78">
        <v>1</v>
      </c>
      <c r="S78" t="s">
        <v>614</v>
      </c>
      <c r="U78" t="s">
        <v>68</v>
      </c>
      <c r="V78" t="s">
        <v>615</v>
      </c>
      <c r="X78" t="s">
        <v>617</v>
      </c>
      <c r="Y78" t="b">
        <f t="shared" si="1"/>
        <v>1</v>
      </c>
    </row>
    <row r="79" spans="1:25">
      <c r="A79" s="11" t="s">
        <v>9939</v>
      </c>
      <c r="B79" t="s">
        <v>16</v>
      </c>
      <c r="C79" s="2" t="s">
        <v>8334</v>
      </c>
      <c r="D79" t="s">
        <v>619</v>
      </c>
      <c r="E79" t="s">
        <v>618</v>
      </c>
      <c r="F79">
        <v>1</v>
      </c>
      <c r="H79" t="s">
        <v>623</v>
      </c>
      <c r="I79">
        <v>1</v>
      </c>
      <c r="K79" t="s">
        <v>40</v>
      </c>
      <c r="M79" t="str">
        <f>"15571912"</f>
        <v>15571912</v>
      </c>
      <c r="N79" s="2" t="str">
        <f>"20141201"</f>
        <v>20141201</v>
      </c>
      <c r="O79">
        <v>16</v>
      </c>
      <c r="P79">
        <v>6</v>
      </c>
      <c r="Q79">
        <v>1290</v>
      </c>
      <c r="R79">
        <v>4</v>
      </c>
      <c r="S79" t="s">
        <v>620</v>
      </c>
      <c r="T79" t="s">
        <v>621</v>
      </c>
      <c r="U79" t="s">
        <v>42</v>
      </c>
      <c r="V79" t="s">
        <v>622</v>
      </c>
      <c r="X79" t="s">
        <v>624</v>
      </c>
      <c r="Y79" t="b">
        <f t="shared" si="1"/>
        <v>0</v>
      </c>
    </row>
    <row r="80" spans="1:25" hidden="1">
      <c r="A80" s="11" t="s">
        <v>9939</v>
      </c>
      <c r="B80" t="s">
        <v>69</v>
      </c>
      <c r="C80" s="2" t="s">
        <v>8341</v>
      </c>
      <c r="D80" t="s">
        <v>626</v>
      </c>
      <c r="E80" t="s">
        <v>625</v>
      </c>
      <c r="H80" t="s">
        <v>630</v>
      </c>
      <c r="K80" t="s">
        <v>65</v>
      </c>
      <c r="L80" t="str">
        <f>"9780549861744"</f>
        <v>9780549861744</v>
      </c>
      <c r="M80" t="str">
        <f>"04194209"</f>
        <v>04194209</v>
      </c>
      <c r="N80" s="2" t="str">
        <f>"20090101"</f>
        <v>20090101</v>
      </c>
      <c r="O80">
        <v>69</v>
      </c>
      <c r="P80" t="s">
        <v>627</v>
      </c>
      <c r="Q80">
        <v>3859</v>
      </c>
      <c r="R80">
        <v>1</v>
      </c>
      <c r="S80" t="s">
        <v>628</v>
      </c>
      <c r="U80" t="s">
        <v>68</v>
      </c>
      <c r="V80" t="s">
        <v>629</v>
      </c>
      <c r="X80" t="s">
        <v>631</v>
      </c>
      <c r="Y80" t="b">
        <f t="shared" si="1"/>
        <v>1</v>
      </c>
    </row>
    <row r="81" spans="1:25" hidden="1">
      <c r="A81" s="11" t="s">
        <v>9939</v>
      </c>
      <c r="B81" t="s">
        <v>16</v>
      </c>
      <c r="C81" s="2" t="s">
        <v>8343</v>
      </c>
      <c r="D81" t="s">
        <v>633</v>
      </c>
      <c r="E81" t="s">
        <v>632</v>
      </c>
      <c r="H81" t="s">
        <v>637</v>
      </c>
      <c r="K81" t="s">
        <v>93</v>
      </c>
      <c r="M81" t="str">
        <f>"00207640"</f>
        <v>00207640</v>
      </c>
      <c r="N81" s="2" t="str">
        <f>"20171201"</f>
        <v>20171201</v>
      </c>
      <c r="O81">
        <v>63</v>
      </c>
      <c r="P81">
        <v>8</v>
      </c>
      <c r="Q81">
        <v>708</v>
      </c>
      <c r="R81">
        <v>9</v>
      </c>
      <c r="S81" t="s">
        <v>634</v>
      </c>
      <c r="T81" t="s">
        <v>635</v>
      </c>
      <c r="U81" t="s">
        <v>15</v>
      </c>
      <c r="V81" t="s">
        <v>636</v>
      </c>
      <c r="X81" t="s">
        <v>638</v>
      </c>
      <c r="Y81" t="b">
        <f t="shared" si="1"/>
        <v>1</v>
      </c>
    </row>
    <row r="82" spans="1:25">
      <c r="A82" s="11" t="s">
        <v>9939</v>
      </c>
      <c r="B82" t="s">
        <v>16</v>
      </c>
      <c r="C82" s="2" t="s">
        <v>8335</v>
      </c>
      <c r="D82" t="s">
        <v>640</v>
      </c>
      <c r="E82" t="s">
        <v>639</v>
      </c>
      <c r="F82">
        <v>1</v>
      </c>
      <c r="H82" t="s">
        <v>644</v>
      </c>
      <c r="I82">
        <v>1</v>
      </c>
      <c r="K82" t="s">
        <v>189</v>
      </c>
      <c r="M82" t="str">
        <f>"01650254"</f>
        <v>01650254</v>
      </c>
      <c r="N82" s="2" t="str">
        <f>"20040501"</f>
        <v>20040501</v>
      </c>
      <c r="O82">
        <v>28</v>
      </c>
      <c r="P82">
        <v>3</v>
      </c>
      <c r="Q82">
        <v>259</v>
      </c>
      <c r="R82">
        <v>9</v>
      </c>
      <c r="S82" t="s">
        <v>641</v>
      </c>
      <c r="T82" t="s">
        <v>642</v>
      </c>
      <c r="U82" t="s">
        <v>87</v>
      </c>
      <c r="V82" t="s">
        <v>643</v>
      </c>
      <c r="X82" t="s">
        <v>645</v>
      </c>
      <c r="Y82" t="b">
        <f t="shared" si="1"/>
        <v>0</v>
      </c>
    </row>
    <row r="83" spans="1:25">
      <c r="A83" s="11" t="s">
        <v>9939</v>
      </c>
      <c r="B83" t="s">
        <v>16</v>
      </c>
      <c r="C83" s="2" t="s">
        <v>8337</v>
      </c>
      <c r="D83" t="s">
        <v>647</v>
      </c>
      <c r="E83" t="s">
        <v>646</v>
      </c>
      <c r="F83">
        <v>1</v>
      </c>
      <c r="H83" t="s">
        <v>652</v>
      </c>
      <c r="I83">
        <v>1</v>
      </c>
      <c r="K83" t="s">
        <v>648</v>
      </c>
      <c r="M83" t="str">
        <f>"13676261"</f>
        <v>13676261</v>
      </c>
      <c r="N83" s="2" t="str">
        <f>"20130601"</f>
        <v>20130601</v>
      </c>
      <c r="O83">
        <v>16</v>
      </c>
      <c r="P83">
        <v>4</v>
      </c>
      <c r="Q83">
        <v>460</v>
      </c>
      <c r="R83">
        <v>14</v>
      </c>
      <c r="S83" t="s">
        <v>649</v>
      </c>
      <c r="T83" t="s">
        <v>650</v>
      </c>
      <c r="U83" t="s">
        <v>87</v>
      </c>
      <c r="V83" t="s">
        <v>651</v>
      </c>
      <c r="X83" t="s">
        <v>653</v>
      </c>
      <c r="Y83" t="b">
        <f t="shared" si="1"/>
        <v>0</v>
      </c>
    </row>
    <row r="84" spans="1:25" hidden="1">
      <c r="A84" s="11" t="s">
        <v>9939</v>
      </c>
      <c r="B84" t="s">
        <v>16</v>
      </c>
      <c r="C84" s="2" t="s">
        <v>8349</v>
      </c>
      <c r="D84" t="s">
        <v>655</v>
      </c>
      <c r="E84" t="s">
        <v>654</v>
      </c>
      <c r="H84" t="s">
        <v>660</v>
      </c>
      <c r="K84" t="s">
        <v>656</v>
      </c>
      <c r="M84" t="str">
        <f>"01651781"</f>
        <v>01651781</v>
      </c>
      <c r="N84" s="2" t="str">
        <f>"20190501"</f>
        <v>20190501</v>
      </c>
      <c r="O84">
        <v>275</v>
      </c>
      <c r="Q84">
        <v>71</v>
      </c>
      <c r="R84">
        <v>7</v>
      </c>
      <c r="S84" t="s">
        <v>657</v>
      </c>
      <c r="T84" t="s">
        <v>658</v>
      </c>
      <c r="U84" t="s">
        <v>34</v>
      </c>
      <c r="V84" t="s">
        <v>659</v>
      </c>
      <c r="X84" t="s">
        <v>661</v>
      </c>
      <c r="Y84" t="b">
        <f t="shared" si="1"/>
        <v>1</v>
      </c>
    </row>
    <row r="85" spans="1:25">
      <c r="A85" s="11" t="s">
        <v>9939</v>
      </c>
      <c r="B85" t="s">
        <v>16</v>
      </c>
      <c r="C85" s="2" t="s">
        <v>8338</v>
      </c>
      <c r="D85" t="s">
        <v>663</v>
      </c>
      <c r="E85" t="s">
        <v>662</v>
      </c>
      <c r="F85">
        <v>1</v>
      </c>
      <c r="H85" t="s">
        <v>668</v>
      </c>
      <c r="I85">
        <v>1</v>
      </c>
      <c r="K85" t="s">
        <v>664</v>
      </c>
      <c r="M85" t="str">
        <f>"00332941"</f>
        <v>00332941</v>
      </c>
      <c r="N85" s="2" t="str">
        <f>"20060801"</f>
        <v>20060801</v>
      </c>
      <c r="O85">
        <v>99</v>
      </c>
      <c r="P85">
        <v>1</v>
      </c>
      <c r="Q85">
        <v>295</v>
      </c>
      <c r="R85">
        <v>10</v>
      </c>
      <c r="S85" t="s">
        <v>665</v>
      </c>
      <c r="T85" t="s">
        <v>666</v>
      </c>
      <c r="U85" t="s">
        <v>664</v>
      </c>
      <c r="V85" t="s">
        <v>667</v>
      </c>
      <c r="X85" t="s">
        <v>669</v>
      </c>
      <c r="Y85" t="b">
        <f t="shared" si="1"/>
        <v>0</v>
      </c>
    </row>
    <row r="86" spans="1:25">
      <c r="A86" s="11" t="s">
        <v>9939</v>
      </c>
      <c r="B86" t="s">
        <v>16</v>
      </c>
      <c r="C86" s="2" t="s">
        <v>8340</v>
      </c>
      <c r="D86" t="s">
        <v>671</v>
      </c>
      <c r="E86" t="s">
        <v>670</v>
      </c>
      <c r="F86">
        <v>1</v>
      </c>
      <c r="H86" t="s">
        <v>677</v>
      </c>
      <c r="I86">
        <v>1</v>
      </c>
      <c r="K86" t="s">
        <v>672</v>
      </c>
      <c r="M86" t="str">
        <f>"08836612"</f>
        <v>08836612</v>
      </c>
      <c r="N86" s="2" t="str">
        <f>"20180101"</f>
        <v>20180101</v>
      </c>
      <c r="O86">
        <v>52</v>
      </c>
      <c r="P86">
        <v>1</v>
      </c>
      <c r="Q86">
        <v>42</v>
      </c>
      <c r="R86">
        <v>11</v>
      </c>
      <c r="S86" t="s">
        <v>673</v>
      </c>
      <c r="T86" t="s">
        <v>674</v>
      </c>
      <c r="U86" t="s">
        <v>675</v>
      </c>
      <c r="V86" t="s">
        <v>676</v>
      </c>
      <c r="X86" t="s">
        <v>678</v>
      </c>
      <c r="Y86" t="b">
        <f t="shared" si="1"/>
        <v>0</v>
      </c>
    </row>
    <row r="87" spans="1:25" hidden="1">
      <c r="A87" s="11" t="s">
        <v>9939</v>
      </c>
      <c r="B87" t="s">
        <v>16</v>
      </c>
      <c r="C87" s="2" t="s">
        <v>8341</v>
      </c>
      <c r="D87" t="s">
        <v>680</v>
      </c>
      <c r="E87" t="s">
        <v>679</v>
      </c>
      <c r="H87" t="s">
        <v>684</v>
      </c>
      <c r="K87" t="s">
        <v>197</v>
      </c>
      <c r="M87" t="str">
        <f>"10436596"</f>
        <v>10436596</v>
      </c>
      <c r="N87" s="2" t="str">
        <f>"20091001"</f>
        <v>20091001</v>
      </c>
      <c r="O87">
        <v>20</v>
      </c>
      <c r="P87">
        <v>4</v>
      </c>
      <c r="Q87">
        <v>358</v>
      </c>
      <c r="R87">
        <v>13</v>
      </c>
      <c r="S87" t="s">
        <v>681</v>
      </c>
      <c r="T87" t="s">
        <v>682</v>
      </c>
      <c r="U87" t="s">
        <v>15</v>
      </c>
      <c r="V87" t="s">
        <v>683</v>
      </c>
      <c r="X87" t="s">
        <v>685</v>
      </c>
      <c r="Y87" t="b">
        <f t="shared" si="1"/>
        <v>1</v>
      </c>
    </row>
    <row r="88" spans="1:25">
      <c r="A88" s="11" t="s">
        <v>9939</v>
      </c>
      <c r="B88" t="s">
        <v>69</v>
      </c>
      <c r="C88" s="2" t="s">
        <v>8341</v>
      </c>
      <c r="D88" t="s">
        <v>687</v>
      </c>
      <c r="E88" t="s">
        <v>686</v>
      </c>
      <c r="F88">
        <v>1</v>
      </c>
      <c r="H88" t="s">
        <v>691</v>
      </c>
      <c r="I88">
        <v>1</v>
      </c>
      <c r="K88" t="s">
        <v>65</v>
      </c>
      <c r="L88" t="str">
        <f>"9780549893363"</f>
        <v>9780549893363</v>
      </c>
      <c r="M88" t="str">
        <f>"04194209"</f>
        <v>04194209</v>
      </c>
      <c r="N88" s="2" t="str">
        <f>"20090101"</f>
        <v>20090101</v>
      </c>
      <c r="O88">
        <v>69</v>
      </c>
      <c r="P88" t="s">
        <v>688</v>
      </c>
      <c r="Q88">
        <v>4520</v>
      </c>
      <c r="R88">
        <v>1</v>
      </c>
      <c r="S88" t="s">
        <v>689</v>
      </c>
      <c r="U88" t="s">
        <v>68</v>
      </c>
      <c r="V88" t="s">
        <v>690</v>
      </c>
      <c r="X88" t="s">
        <v>692</v>
      </c>
      <c r="Y88" t="b">
        <f t="shared" si="1"/>
        <v>0</v>
      </c>
    </row>
    <row r="89" spans="1:25">
      <c r="A89" s="11" t="s">
        <v>9939</v>
      </c>
      <c r="B89" t="s">
        <v>395</v>
      </c>
      <c r="C89" s="2" t="s">
        <v>8334</v>
      </c>
      <c r="D89" t="s">
        <v>694</v>
      </c>
      <c r="E89" t="s">
        <v>693</v>
      </c>
      <c r="F89">
        <v>1</v>
      </c>
      <c r="H89" t="s">
        <v>699</v>
      </c>
      <c r="I89">
        <v>0</v>
      </c>
      <c r="J89" t="s">
        <v>9178</v>
      </c>
      <c r="K89" t="s">
        <v>695</v>
      </c>
      <c r="L89" t="str">
        <f>"9781409464242; 9781409464259; 9781472407832"</f>
        <v>9781409464242; 9781409464259; 9781472407832</v>
      </c>
      <c r="N89" s="2" t="str">
        <f>"20140101"</f>
        <v>20140101</v>
      </c>
      <c r="Q89">
        <v>83</v>
      </c>
      <c r="R89">
        <v>20</v>
      </c>
      <c r="S89" t="s">
        <v>696</v>
      </c>
      <c r="U89" t="s">
        <v>697</v>
      </c>
      <c r="V89" t="s">
        <v>698</v>
      </c>
      <c r="X89" t="s">
        <v>700</v>
      </c>
      <c r="Y89" t="b">
        <f t="shared" si="1"/>
        <v>0</v>
      </c>
    </row>
    <row r="90" spans="1:25" hidden="1">
      <c r="A90" s="11" t="s">
        <v>9939</v>
      </c>
      <c r="B90" t="s">
        <v>16</v>
      </c>
      <c r="C90" s="2" t="s">
        <v>8336</v>
      </c>
      <c r="D90" t="s">
        <v>702</v>
      </c>
      <c r="E90" t="s">
        <v>701</v>
      </c>
      <c r="H90" t="s">
        <v>707</v>
      </c>
      <c r="K90" t="s">
        <v>703</v>
      </c>
      <c r="M90" t="str">
        <f>"00219029"</f>
        <v>00219029</v>
      </c>
      <c r="N90" s="2" t="str">
        <f>"20070701"</f>
        <v>20070701</v>
      </c>
      <c r="O90">
        <v>37</v>
      </c>
      <c r="P90">
        <v>7</v>
      </c>
      <c r="Q90">
        <v>1462</v>
      </c>
      <c r="R90">
        <v>27</v>
      </c>
      <c r="S90" t="s">
        <v>704</v>
      </c>
      <c r="T90" t="s">
        <v>705</v>
      </c>
      <c r="U90" t="s">
        <v>464</v>
      </c>
      <c r="V90" t="s">
        <v>706</v>
      </c>
      <c r="X90" t="s">
        <v>708</v>
      </c>
      <c r="Y90" t="b">
        <f t="shared" si="1"/>
        <v>1</v>
      </c>
    </row>
    <row r="91" spans="1:25">
      <c r="A91" s="11" t="s">
        <v>9939</v>
      </c>
      <c r="B91" t="s">
        <v>69</v>
      </c>
      <c r="C91" s="2" t="s">
        <v>8334</v>
      </c>
      <c r="D91" t="s">
        <v>710</v>
      </c>
      <c r="E91" t="s">
        <v>709</v>
      </c>
      <c r="F91">
        <v>1</v>
      </c>
      <c r="H91" t="s">
        <v>714</v>
      </c>
      <c r="I91">
        <v>1</v>
      </c>
      <c r="K91" t="s">
        <v>101</v>
      </c>
      <c r="L91" t="str">
        <f>"9781303404825"</f>
        <v>9781303404825</v>
      </c>
      <c r="M91" t="str">
        <f>"04194217"</f>
        <v>04194217</v>
      </c>
      <c r="N91" s="2" t="str">
        <f>"20140101"</f>
        <v>20140101</v>
      </c>
      <c r="O91">
        <v>75</v>
      </c>
      <c r="P91" t="s">
        <v>711</v>
      </c>
      <c r="S91" t="s">
        <v>712</v>
      </c>
      <c r="U91" t="s">
        <v>68</v>
      </c>
      <c r="V91" t="s">
        <v>713</v>
      </c>
      <c r="X91" t="s">
        <v>715</v>
      </c>
      <c r="Y91" t="b">
        <f t="shared" si="1"/>
        <v>0</v>
      </c>
    </row>
    <row r="92" spans="1:25">
      <c r="A92" s="11" t="s">
        <v>9939</v>
      </c>
      <c r="B92" t="s">
        <v>16</v>
      </c>
      <c r="C92" s="2" t="s">
        <v>8341</v>
      </c>
      <c r="D92" t="s">
        <v>717</v>
      </c>
      <c r="E92" t="s">
        <v>716</v>
      </c>
      <c r="F92">
        <v>1</v>
      </c>
      <c r="H92" t="s">
        <v>722</v>
      </c>
      <c r="I92">
        <v>1</v>
      </c>
      <c r="K92" t="s">
        <v>718</v>
      </c>
      <c r="M92" t="str">
        <f>"0278095X"</f>
        <v>0278095X</v>
      </c>
      <c r="N92" s="2" t="str">
        <f>"20090701"</f>
        <v>20090701</v>
      </c>
      <c r="O92">
        <v>30</v>
      </c>
      <c r="P92" s="1">
        <v>44289</v>
      </c>
      <c r="Q92" s="1">
        <v>453</v>
      </c>
      <c r="R92">
        <v>21</v>
      </c>
      <c r="S92" t="s">
        <v>719</v>
      </c>
      <c r="T92" t="s">
        <v>720</v>
      </c>
      <c r="U92" t="s">
        <v>42</v>
      </c>
      <c r="V92" t="s">
        <v>721</v>
      </c>
      <c r="X92" t="s">
        <v>723</v>
      </c>
      <c r="Y92" t="b">
        <f t="shared" si="1"/>
        <v>0</v>
      </c>
    </row>
    <row r="93" spans="1:25">
      <c r="A93" s="11" t="s">
        <v>9939</v>
      </c>
      <c r="B93" t="s">
        <v>16</v>
      </c>
      <c r="C93" s="2" t="s">
        <v>8346</v>
      </c>
      <c r="D93" t="s">
        <v>725</v>
      </c>
      <c r="E93" t="s">
        <v>724</v>
      </c>
      <c r="F93">
        <v>1</v>
      </c>
      <c r="H93" t="s">
        <v>732</v>
      </c>
      <c r="I93">
        <v>1</v>
      </c>
      <c r="K93" t="s">
        <v>726</v>
      </c>
      <c r="M93" t="str">
        <f>"09621067"</f>
        <v>09621067</v>
      </c>
      <c r="N93" s="2" t="str">
        <f>"20111201"</f>
        <v>20111201</v>
      </c>
      <c r="O93">
        <v>20</v>
      </c>
      <c r="P93" t="s">
        <v>727</v>
      </c>
      <c r="Q93">
        <v>3383</v>
      </c>
      <c r="R93">
        <v>11</v>
      </c>
      <c r="S93" t="s">
        <v>728</v>
      </c>
      <c r="T93" t="s">
        <v>729</v>
      </c>
      <c r="U93" t="s">
        <v>730</v>
      </c>
      <c r="V93" t="s">
        <v>731</v>
      </c>
      <c r="X93" t="s">
        <v>733</v>
      </c>
      <c r="Y93" t="b">
        <f t="shared" si="1"/>
        <v>0</v>
      </c>
    </row>
    <row r="94" spans="1:25" hidden="1">
      <c r="A94" s="11" t="s">
        <v>9939</v>
      </c>
      <c r="B94" t="s">
        <v>16</v>
      </c>
      <c r="C94" s="2" t="s">
        <v>8347</v>
      </c>
      <c r="D94" t="s">
        <v>735</v>
      </c>
      <c r="E94" t="s">
        <v>734</v>
      </c>
      <c r="H94" t="s">
        <v>740</v>
      </c>
      <c r="K94" t="s">
        <v>736</v>
      </c>
      <c r="M94" t="str">
        <f>"0001690X"</f>
        <v>0001690X</v>
      </c>
      <c r="N94" s="2" t="str">
        <f>"20080601"</f>
        <v>20080601</v>
      </c>
      <c r="O94">
        <v>117</v>
      </c>
      <c r="P94">
        <v>6</v>
      </c>
      <c r="Q94">
        <v>474</v>
      </c>
      <c r="R94">
        <v>5</v>
      </c>
      <c r="S94" t="s">
        <v>737</v>
      </c>
      <c r="T94" t="s">
        <v>738</v>
      </c>
      <c r="U94" t="s">
        <v>730</v>
      </c>
      <c r="V94" t="s">
        <v>739</v>
      </c>
      <c r="X94" t="s">
        <v>741</v>
      </c>
      <c r="Y94" t="b">
        <f t="shared" si="1"/>
        <v>1</v>
      </c>
    </row>
    <row r="95" spans="1:25">
      <c r="A95" s="11" t="s">
        <v>9939</v>
      </c>
      <c r="B95" t="s">
        <v>69</v>
      </c>
      <c r="C95" s="2" t="s">
        <v>8334</v>
      </c>
      <c r="D95" t="s">
        <v>743</v>
      </c>
      <c r="E95" t="s">
        <v>742</v>
      </c>
      <c r="F95">
        <v>1</v>
      </c>
      <c r="H95" t="s">
        <v>747</v>
      </c>
      <c r="I95">
        <v>1</v>
      </c>
      <c r="K95" t="s">
        <v>65</v>
      </c>
      <c r="L95" t="str">
        <f>"9781303697791"</f>
        <v>9781303697791</v>
      </c>
      <c r="M95" t="str">
        <f>"04194209"</f>
        <v>04194209</v>
      </c>
      <c r="N95" s="2" t="str">
        <f>"20140101"</f>
        <v>20140101</v>
      </c>
      <c r="O95">
        <v>75</v>
      </c>
      <c r="P95" t="s">
        <v>744</v>
      </c>
      <c r="S95" t="s">
        <v>745</v>
      </c>
      <c r="U95" t="s">
        <v>68</v>
      </c>
      <c r="V95" t="s">
        <v>746</v>
      </c>
      <c r="X95" t="s">
        <v>748</v>
      </c>
      <c r="Y95" t="b">
        <f t="shared" si="1"/>
        <v>0</v>
      </c>
    </row>
    <row r="96" spans="1:25">
      <c r="A96" s="11" t="s">
        <v>9939</v>
      </c>
      <c r="B96" t="s">
        <v>16</v>
      </c>
      <c r="C96" s="2" t="s">
        <v>8347</v>
      </c>
      <c r="D96" t="s">
        <v>750</v>
      </c>
      <c r="E96" t="s">
        <v>749</v>
      </c>
      <c r="F96">
        <v>1</v>
      </c>
      <c r="H96" t="s">
        <v>754</v>
      </c>
      <c r="I96">
        <v>0</v>
      </c>
      <c r="J96" t="s">
        <v>9249</v>
      </c>
      <c r="K96" t="s">
        <v>155</v>
      </c>
      <c r="M96" t="str">
        <f>"00910562"</f>
        <v>00910562</v>
      </c>
      <c r="N96" s="2" t="str">
        <f>"20081201"</f>
        <v>20081201</v>
      </c>
      <c r="O96">
        <v>42</v>
      </c>
      <c r="P96" s="1">
        <v>44289</v>
      </c>
      <c r="Q96" s="1">
        <v>309</v>
      </c>
      <c r="R96">
        <v>19</v>
      </c>
      <c r="S96" t="s">
        <v>751</v>
      </c>
      <c r="T96" t="s">
        <v>752</v>
      </c>
      <c r="U96" t="s">
        <v>42</v>
      </c>
      <c r="V96" t="s">
        <v>753</v>
      </c>
      <c r="X96" t="s">
        <v>755</v>
      </c>
      <c r="Y96" t="b">
        <f t="shared" si="1"/>
        <v>0</v>
      </c>
    </row>
    <row r="97" spans="1:25">
      <c r="A97" s="11" t="s">
        <v>9939</v>
      </c>
      <c r="B97" t="s">
        <v>16</v>
      </c>
      <c r="C97" s="2" t="s">
        <v>8343</v>
      </c>
      <c r="D97" t="s">
        <v>757</v>
      </c>
      <c r="E97" t="s">
        <v>756</v>
      </c>
      <c r="F97">
        <v>1</v>
      </c>
      <c r="H97" t="s">
        <v>762</v>
      </c>
      <c r="I97">
        <v>1</v>
      </c>
      <c r="K97" t="s">
        <v>758</v>
      </c>
      <c r="M97" t="str">
        <f>"18712584"</f>
        <v>18712584</v>
      </c>
      <c r="N97" s="2" t="str">
        <f>"20170601"</f>
        <v>20170601</v>
      </c>
      <c r="O97">
        <v>12</v>
      </c>
      <c r="P97">
        <v>2</v>
      </c>
      <c r="Q97">
        <v>451</v>
      </c>
      <c r="R97">
        <v>29</v>
      </c>
      <c r="S97" t="s">
        <v>759</v>
      </c>
      <c r="T97" t="s">
        <v>760</v>
      </c>
      <c r="U97" t="s">
        <v>42</v>
      </c>
      <c r="V97" t="s">
        <v>761</v>
      </c>
      <c r="X97" t="s">
        <v>763</v>
      </c>
      <c r="Y97" t="b">
        <f t="shared" si="1"/>
        <v>0</v>
      </c>
    </row>
    <row r="98" spans="1:25">
      <c r="A98" s="11" t="s">
        <v>9939</v>
      </c>
      <c r="B98" t="s">
        <v>16</v>
      </c>
      <c r="C98" s="2" t="s">
        <v>8343</v>
      </c>
      <c r="D98" t="s">
        <v>765</v>
      </c>
      <c r="E98" t="s">
        <v>764</v>
      </c>
      <c r="F98">
        <v>1</v>
      </c>
      <c r="H98" t="s">
        <v>770</v>
      </c>
      <c r="I98">
        <v>1</v>
      </c>
      <c r="K98" t="s">
        <v>766</v>
      </c>
      <c r="M98" t="str">
        <f>"00050067"</f>
        <v>00050067</v>
      </c>
      <c r="N98" s="2" t="str">
        <f>"20170601"</f>
        <v>20170601</v>
      </c>
      <c r="O98">
        <v>52</v>
      </c>
      <c r="P98">
        <v>3</v>
      </c>
      <c r="Q98">
        <v>238</v>
      </c>
      <c r="R98">
        <v>10</v>
      </c>
      <c r="S98" t="s">
        <v>767</v>
      </c>
      <c r="T98" t="s">
        <v>768</v>
      </c>
      <c r="U98" t="s">
        <v>730</v>
      </c>
      <c r="V98" t="s">
        <v>769</v>
      </c>
      <c r="X98" t="s">
        <v>771</v>
      </c>
      <c r="Y98" t="b">
        <f t="shared" si="1"/>
        <v>0</v>
      </c>
    </row>
    <row r="99" spans="1:25" hidden="1">
      <c r="A99" s="11" t="s">
        <v>9939</v>
      </c>
      <c r="B99" t="s">
        <v>16</v>
      </c>
      <c r="C99" s="2" t="s">
        <v>8341</v>
      </c>
      <c r="D99" t="s">
        <v>773</v>
      </c>
      <c r="E99" t="s">
        <v>772</v>
      </c>
      <c r="H99" t="s">
        <v>777</v>
      </c>
      <c r="K99" t="s">
        <v>252</v>
      </c>
      <c r="M99" t="str">
        <f>"00220221"</f>
        <v>00220221</v>
      </c>
      <c r="N99" s="2" t="str">
        <f>"20090501"</f>
        <v>20090501</v>
      </c>
      <c r="O99">
        <v>40</v>
      </c>
      <c r="P99">
        <v>3</v>
      </c>
      <c r="Q99">
        <v>468</v>
      </c>
      <c r="R99">
        <v>24</v>
      </c>
      <c r="S99" t="s">
        <v>774</v>
      </c>
      <c r="T99" t="s">
        <v>775</v>
      </c>
      <c r="U99" t="s">
        <v>15</v>
      </c>
      <c r="V99" t="s">
        <v>776</v>
      </c>
      <c r="X99" t="s">
        <v>778</v>
      </c>
      <c r="Y99" t="b">
        <f t="shared" si="1"/>
        <v>1</v>
      </c>
    </row>
    <row r="100" spans="1:25" hidden="1">
      <c r="A100" s="11" t="s">
        <v>9939</v>
      </c>
      <c r="B100" t="s">
        <v>16</v>
      </c>
      <c r="C100" s="2" t="s">
        <v>8337</v>
      </c>
      <c r="D100" t="s">
        <v>780</v>
      </c>
      <c r="E100" t="s">
        <v>779</v>
      </c>
      <c r="H100" t="s">
        <v>784</v>
      </c>
      <c r="K100" t="s">
        <v>252</v>
      </c>
      <c r="M100" t="str">
        <f>"00220221"</f>
        <v>00220221</v>
      </c>
      <c r="N100" s="2" t="str">
        <f>"20130701"</f>
        <v>20130701</v>
      </c>
      <c r="O100">
        <v>44</v>
      </c>
      <c r="P100">
        <v>5</v>
      </c>
      <c r="Q100">
        <v>701</v>
      </c>
      <c r="R100">
        <v>18</v>
      </c>
      <c r="S100" t="s">
        <v>781</v>
      </c>
      <c r="T100" t="s">
        <v>782</v>
      </c>
      <c r="U100" t="s">
        <v>15</v>
      </c>
      <c r="V100" t="s">
        <v>783</v>
      </c>
      <c r="X100" t="s">
        <v>785</v>
      </c>
      <c r="Y100" t="b">
        <f t="shared" si="1"/>
        <v>1</v>
      </c>
    </row>
    <row r="101" spans="1:25" hidden="1">
      <c r="A101" s="11" t="s">
        <v>9939</v>
      </c>
      <c r="B101" t="s">
        <v>16</v>
      </c>
      <c r="C101" s="2" t="s">
        <v>8341</v>
      </c>
      <c r="D101" t="s">
        <v>787</v>
      </c>
      <c r="E101" t="s">
        <v>786</v>
      </c>
      <c r="H101" t="s">
        <v>791</v>
      </c>
      <c r="K101" t="s">
        <v>252</v>
      </c>
      <c r="M101" t="str">
        <f>"00220221"</f>
        <v>00220221</v>
      </c>
      <c r="N101" s="2" t="str">
        <f>"20090501"</f>
        <v>20090501</v>
      </c>
      <c r="O101">
        <v>40</v>
      </c>
      <c r="P101">
        <v>3</v>
      </c>
      <c r="Q101">
        <v>443</v>
      </c>
      <c r="R101">
        <v>25</v>
      </c>
      <c r="S101" t="s">
        <v>788</v>
      </c>
      <c r="T101" t="s">
        <v>789</v>
      </c>
      <c r="U101" t="s">
        <v>15</v>
      </c>
      <c r="V101" t="s">
        <v>790</v>
      </c>
      <c r="X101" t="s">
        <v>792</v>
      </c>
      <c r="Y101" t="b">
        <f t="shared" si="1"/>
        <v>1</v>
      </c>
    </row>
    <row r="102" spans="1:25" hidden="1">
      <c r="A102" s="11" t="s">
        <v>9939</v>
      </c>
      <c r="B102" t="s">
        <v>16</v>
      </c>
      <c r="C102" s="2" t="s">
        <v>8335</v>
      </c>
      <c r="D102" t="s">
        <v>794</v>
      </c>
      <c r="E102" t="s">
        <v>793</v>
      </c>
      <c r="H102" t="s">
        <v>798</v>
      </c>
      <c r="K102" t="s">
        <v>370</v>
      </c>
      <c r="M102" t="str">
        <f>"00207594"</f>
        <v>00207594</v>
      </c>
      <c r="N102" s="2" t="str">
        <f>"20040401"</f>
        <v>20040401</v>
      </c>
      <c r="O102">
        <v>39</v>
      </c>
      <c r="P102">
        <v>2</v>
      </c>
      <c r="Q102">
        <v>118</v>
      </c>
      <c r="R102">
        <v>14</v>
      </c>
      <c r="S102" t="s">
        <v>795</v>
      </c>
      <c r="T102" t="s">
        <v>796</v>
      </c>
      <c r="U102" t="s">
        <v>87</v>
      </c>
      <c r="V102" t="s">
        <v>797</v>
      </c>
      <c r="X102" t="s">
        <v>799</v>
      </c>
      <c r="Y102" t="b">
        <f t="shared" si="1"/>
        <v>1</v>
      </c>
    </row>
    <row r="103" spans="1:25">
      <c r="A103" s="11" t="s">
        <v>9939</v>
      </c>
      <c r="B103" t="s">
        <v>16</v>
      </c>
      <c r="C103" s="2" t="s">
        <v>8334</v>
      </c>
      <c r="D103" t="s">
        <v>801</v>
      </c>
      <c r="E103" t="s">
        <v>800</v>
      </c>
      <c r="F103">
        <v>1</v>
      </c>
      <c r="H103" t="s">
        <v>806</v>
      </c>
      <c r="I103">
        <v>1</v>
      </c>
      <c r="K103" t="s">
        <v>802</v>
      </c>
      <c r="M103" t="str">
        <f>"00224545"</f>
        <v>00224545</v>
      </c>
      <c r="N103" s="2" t="str">
        <f>"20140701"</f>
        <v>20140701</v>
      </c>
      <c r="O103">
        <v>154</v>
      </c>
      <c r="P103">
        <v>4</v>
      </c>
      <c r="Q103">
        <v>339</v>
      </c>
      <c r="R103">
        <v>13</v>
      </c>
      <c r="S103" t="s">
        <v>803</v>
      </c>
      <c r="T103" t="s">
        <v>804</v>
      </c>
      <c r="U103" t="s">
        <v>87</v>
      </c>
      <c r="V103" t="s">
        <v>805</v>
      </c>
      <c r="X103" t="s">
        <v>807</v>
      </c>
      <c r="Y103" t="b">
        <f t="shared" si="1"/>
        <v>0</v>
      </c>
    </row>
    <row r="104" spans="1:25" hidden="1">
      <c r="A104" s="11" t="s">
        <v>9939</v>
      </c>
      <c r="B104" t="s">
        <v>16</v>
      </c>
      <c r="C104" s="2" t="s">
        <v>8353</v>
      </c>
      <c r="D104" t="s">
        <v>809</v>
      </c>
      <c r="E104" t="s">
        <v>808</v>
      </c>
      <c r="H104" t="s">
        <v>814</v>
      </c>
      <c r="K104" t="s">
        <v>810</v>
      </c>
      <c r="M104" t="str">
        <f>"00462772"</f>
        <v>00462772</v>
      </c>
      <c r="N104" s="2" t="str">
        <f>"20160601"</f>
        <v>20160601</v>
      </c>
      <c r="O104">
        <v>46</v>
      </c>
      <c r="P104">
        <v>4</v>
      </c>
      <c r="Q104">
        <v>401</v>
      </c>
      <c r="R104">
        <v>17</v>
      </c>
      <c r="S104" t="s">
        <v>811</v>
      </c>
      <c r="T104" t="s">
        <v>812</v>
      </c>
      <c r="U104" t="s">
        <v>224</v>
      </c>
      <c r="V104" t="s">
        <v>813</v>
      </c>
      <c r="X104" t="s">
        <v>815</v>
      </c>
      <c r="Y104" t="b">
        <f t="shared" si="1"/>
        <v>1</v>
      </c>
    </row>
    <row r="105" spans="1:25">
      <c r="A105" s="11" t="s">
        <v>9939</v>
      </c>
      <c r="B105" t="s">
        <v>16</v>
      </c>
      <c r="C105" s="2" t="s">
        <v>8340</v>
      </c>
      <c r="D105" t="s">
        <v>817</v>
      </c>
      <c r="E105" t="s">
        <v>816</v>
      </c>
      <c r="F105">
        <v>1</v>
      </c>
      <c r="H105" t="s">
        <v>821</v>
      </c>
      <c r="I105">
        <v>0</v>
      </c>
      <c r="J105" t="s">
        <v>9249</v>
      </c>
      <c r="K105" t="s">
        <v>132</v>
      </c>
      <c r="M105" t="str">
        <f>"01471767"</f>
        <v>01471767</v>
      </c>
      <c r="N105" s="2" t="str">
        <f>"20180601"</f>
        <v>20180601</v>
      </c>
      <c r="O105">
        <v>65</v>
      </c>
      <c r="Q105">
        <v>51</v>
      </c>
      <c r="R105">
        <v>10</v>
      </c>
      <c r="S105" t="s">
        <v>818</v>
      </c>
      <c r="T105" t="s">
        <v>819</v>
      </c>
      <c r="U105" t="s">
        <v>34</v>
      </c>
      <c r="V105" t="s">
        <v>820</v>
      </c>
      <c r="X105" t="s">
        <v>822</v>
      </c>
      <c r="Y105" t="b">
        <f t="shared" si="1"/>
        <v>0</v>
      </c>
    </row>
    <row r="106" spans="1:25" hidden="1">
      <c r="A106" s="11" t="s">
        <v>9939</v>
      </c>
      <c r="B106" t="s">
        <v>16</v>
      </c>
      <c r="C106" s="2" t="s">
        <v>8349</v>
      </c>
      <c r="D106" t="s">
        <v>824</v>
      </c>
      <c r="E106" t="s">
        <v>823</v>
      </c>
      <c r="H106" t="s">
        <v>830</v>
      </c>
      <c r="K106" t="s">
        <v>825</v>
      </c>
      <c r="M106" t="str">
        <f>"18743501"</f>
        <v>18743501</v>
      </c>
      <c r="N106" s="2" t="str">
        <f>"20191028"</f>
        <v>20191028</v>
      </c>
      <c r="O106">
        <v>12</v>
      </c>
      <c r="S106" t="s">
        <v>826</v>
      </c>
      <c r="T106" t="s">
        <v>827</v>
      </c>
      <c r="U106" t="s">
        <v>828</v>
      </c>
      <c r="V106" t="s">
        <v>829</v>
      </c>
      <c r="X106" t="s">
        <v>831</v>
      </c>
      <c r="Y106" t="b">
        <f t="shared" si="1"/>
        <v>1</v>
      </c>
    </row>
    <row r="107" spans="1:25">
      <c r="A107" s="11" t="s">
        <v>9939</v>
      </c>
      <c r="B107" t="s">
        <v>16</v>
      </c>
      <c r="C107" s="2" t="s">
        <v>8334</v>
      </c>
      <c r="D107" t="s">
        <v>833</v>
      </c>
      <c r="E107" t="s">
        <v>832</v>
      </c>
      <c r="F107">
        <v>1</v>
      </c>
      <c r="H107" t="s">
        <v>837</v>
      </c>
      <c r="I107">
        <v>1</v>
      </c>
      <c r="K107" t="s">
        <v>132</v>
      </c>
      <c r="M107" t="str">
        <f>"01471767"</f>
        <v>01471767</v>
      </c>
      <c r="N107" s="2" t="str">
        <f>"20140501"</f>
        <v>20140501</v>
      </c>
      <c r="O107">
        <v>40</v>
      </c>
      <c r="Q107">
        <v>49</v>
      </c>
      <c r="R107">
        <v>15</v>
      </c>
      <c r="S107" t="s">
        <v>834</v>
      </c>
      <c r="T107" t="s">
        <v>835</v>
      </c>
      <c r="U107" t="s">
        <v>34</v>
      </c>
      <c r="V107" t="s">
        <v>836</v>
      </c>
      <c r="X107" t="s">
        <v>838</v>
      </c>
      <c r="Y107" t="b">
        <f t="shared" si="1"/>
        <v>0</v>
      </c>
    </row>
    <row r="108" spans="1:25" hidden="1">
      <c r="A108" s="11" t="s">
        <v>9939</v>
      </c>
      <c r="B108" t="s">
        <v>16</v>
      </c>
      <c r="C108" s="2" t="s">
        <v>8336</v>
      </c>
      <c r="D108" t="s">
        <v>840</v>
      </c>
      <c r="E108" t="s">
        <v>839</v>
      </c>
      <c r="H108" t="s">
        <v>845</v>
      </c>
      <c r="K108" t="s">
        <v>841</v>
      </c>
      <c r="M108" t="str">
        <f>"1735305X"</f>
        <v>1735305X</v>
      </c>
      <c r="N108" s="2" t="str">
        <f>"20070901"</f>
        <v>20070901</v>
      </c>
      <c r="O108">
        <v>4</v>
      </c>
      <c r="P108">
        <v>13</v>
      </c>
      <c r="Q108">
        <v>91</v>
      </c>
      <c r="R108">
        <v>18</v>
      </c>
      <c r="S108" t="s">
        <v>842</v>
      </c>
      <c r="U108" t="s">
        <v>843</v>
      </c>
      <c r="V108" t="s">
        <v>844</v>
      </c>
      <c r="X108" t="s">
        <v>846</v>
      </c>
      <c r="Y108" t="b">
        <f t="shared" si="1"/>
        <v>1</v>
      </c>
    </row>
    <row r="109" spans="1:25">
      <c r="A109" s="11" t="s">
        <v>9939</v>
      </c>
      <c r="B109" t="s">
        <v>16</v>
      </c>
      <c r="C109" s="2" t="s">
        <v>8346</v>
      </c>
      <c r="D109" t="s">
        <v>848</v>
      </c>
      <c r="E109" t="s">
        <v>847</v>
      </c>
      <c r="F109">
        <v>1</v>
      </c>
      <c r="H109" t="s">
        <v>853</v>
      </c>
      <c r="I109">
        <v>1</v>
      </c>
      <c r="K109" t="s">
        <v>849</v>
      </c>
      <c r="M109" t="str">
        <f>"10384111"</f>
        <v>10384111</v>
      </c>
      <c r="N109" s="2" t="str">
        <f>"20110301"</f>
        <v>20110301</v>
      </c>
      <c r="O109">
        <v>49</v>
      </c>
      <c r="P109">
        <v>1</v>
      </c>
      <c r="Q109">
        <v>71</v>
      </c>
      <c r="R109">
        <v>17</v>
      </c>
      <c r="S109" t="s">
        <v>850</v>
      </c>
      <c r="T109" t="s">
        <v>851</v>
      </c>
      <c r="U109" t="s">
        <v>15</v>
      </c>
      <c r="V109" t="s">
        <v>852</v>
      </c>
      <c r="X109" t="s">
        <v>854</v>
      </c>
      <c r="Y109" t="b">
        <f t="shared" si="1"/>
        <v>0</v>
      </c>
    </row>
    <row r="110" spans="1:25" hidden="1">
      <c r="A110" s="11" t="s">
        <v>9939</v>
      </c>
      <c r="B110" t="s">
        <v>16</v>
      </c>
      <c r="C110" s="2" t="s">
        <v>8353</v>
      </c>
      <c r="D110" t="s">
        <v>856</v>
      </c>
      <c r="E110" t="s">
        <v>855</v>
      </c>
      <c r="H110" t="s">
        <v>859</v>
      </c>
      <c r="K110" t="s">
        <v>314</v>
      </c>
      <c r="M110" t="str">
        <f>"19726325"</f>
        <v>19726325</v>
      </c>
      <c r="N110" s="2" t="str">
        <f>"20160301"</f>
        <v>20160301</v>
      </c>
      <c r="O110">
        <v>23</v>
      </c>
      <c r="P110">
        <v>1</v>
      </c>
      <c r="Q110">
        <v>99</v>
      </c>
      <c r="R110">
        <v>14</v>
      </c>
      <c r="S110" t="s">
        <v>857</v>
      </c>
      <c r="U110" t="s">
        <v>316</v>
      </c>
      <c r="V110" t="s">
        <v>858</v>
      </c>
      <c r="X110" t="s">
        <v>860</v>
      </c>
      <c r="Y110" t="b">
        <f t="shared" si="1"/>
        <v>1</v>
      </c>
    </row>
    <row r="111" spans="1:25" hidden="1">
      <c r="A111" s="11" t="s">
        <v>9939</v>
      </c>
      <c r="B111" t="s">
        <v>16</v>
      </c>
      <c r="C111" s="2" t="s">
        <v>8336</v>
      </c>
      <c r="D111" t="s">
        <v>862</v>
      </c>
      <c r="E111" t="s">
        <v>861</v>
      </c>
      <c r="H111" t="s">
        <v>866</v>
      </c>
      <c r="K111" t="s">
        <v>132</v>
      </c>
      <c r="M111" t="str">
        <f>"01471767"</f>
        <v>01471767</v>
      </c>
      <c r="N111" s="2" t="str">
        <f>"20070101"</f>
        <v>20070101</v>
      </c>
      <c r="O111">
        <v>31</v>
      </c>
      <c r="P111">
        <v>1</v>
      </c>
      <c r="Q111">
        <v>67</v>
      </c>
      <c r="R111">
        <v>20</v>
      </c>
      <c r="S111" t="s">
        <v>863</v>
      </c>
      <c r="T111" t="s">
        <v>864</v>
      </c>
      <c r="U111" t="s">
        <v>34</v>
      </c>
      <c r="V111" t="s">
        <v>865</v>
      </c>
      <c r="X111" t="s">
        <v>867</v>
      </c>
      <c r="Y111" t="b">
        <f t="shared" si="1"/>
        <v>1</v>
      </c>
    </row>
    <row r="112" spans="1:25">
      <c r="A112" s="11" t="s">
        <v>9939</v>
      </c>
      <c r="B112" t="s">
        <v>16</v>
      </c>
      <c r="C112" s="2" t="s">
        <v>8334</v>
      </c>
      <c r="D112" t="s">
        <v>869</v>
      </c>
      <c r="E112" t="s">
        <v>868</v>
      </c>
      <c r="F112">
        <v>1</v>
      </c>
      <c r="H112" t="s">
        <v>874</v>
      </c>
      <c r="I112">
        <v>1</v>
      </c>
      <c r="K112" t="s">
        <v>870</v>
      </c>
      <c r="M112" t="str">
        <f>"18272517"</f>
        <v>18272517</v>
      </c>
      <c r="N112" s="2" t="str">
        <f>"20140501"</f>
        <v>20140501</v>
      </c>
      <c r="O112">
        <v>9</v>
      </c>
      <c r="P112">
        <v>2</v>
      </c>
      <c r="Q112">
        <v>133</v>
      </c>
      <c r="R112">
        <v>25</v>
      </c>
      <c r="S112" t="s">
        <v>871</v>
      </c>
      <c r="U112" t="s">
        <v>872</v>
      </c>
      <c r="V112" t="s">
        <v>873</v>
      </c>
      <c r="X112" t="s">
        <v>875</v>
      </c>
      <c r="Y112" t="b">
        <f t="shared" si="1"/>
        <v>0</v>
      </c>
    </row>
    <row r="113" spans="1:25" hidden="1">
      <c r="A113" s="11" t="s">
        <v>9939</v>
      </c>
      <c r="B113" t="s">
        <v>16</v>
      </c>
      <c r="C113" s="2" t="s">
        <v>8338</v>
      </c>
      <c r="D113" t="s">
        <v>877</v>
      </c>
      <c r="E113" t="s">
        <v>876</v>
      </c>
      <c r="H113" t="s">
        <v>882</v>
      </c>
      <c r="K113" t="s">
        <v>878</v>
      </c>
      <c r="M113" t="str">
        <f>"10693971"</f>
        <v>10693971</v>
      </c>
      <c r="N113" s="2" t="str">
        <f>"20061101"</f>
        <v>20061101</v>
      </c>
      <c r="O113">
        <v>40</v>
      </c>
      <c r="P113">
        <v>4</v>
      </c>
      <c r="Q113">
        <v>331</v>
      </c>
      <c r="R113">
        <v>21</v>
      </c>
      <c r="S113" t="s">
        <v>879</v>
      </c>
      <c r="T113" t="s">
        <v>880</v>
      </c>
      <c r="U113" t="s">
        <v>15</v>
      </c>
      <c r="V113" t="s">
        <v>881</v>
      </c>
      <c r="X113" t="s">
        <v>883</v>
      </c>
      <c r="Y113" t="b">
        <f t="shared" si="1"/>
        <v>1</v>
      </c>
    </row>
    <row r="114" spans="1:25">
      <c r="A114" s="11" t="s">
        <v>9939</v>
      </c>
      <c r="B114" t="s">
        <v>16</v>
      </c>
      <c r="C114" s="2" t="s">
        <v>8340</v>
      </c>
      <c r="D114" t="s">
        <v>885</v>
      </c>
      <c r="E114" t="s">
        <v>884</v>
      </c>
      <c r="F114">
        <v>1</v>
      </c>
      <c r="H114" t="s">
        <v>889</v>
      </c>
      <c r="I114">
        <v>1</v>
      </c>
      <c r="K114" t="s">
        <v>40</v>
      </c>
      <c r="M114" t="str">
        <f>"15571912"</f>
        <v>15571912</v>
      </c>
      <c r="N114" s="2" t="str">
        <f>"20180801"</f>
        <v>20180801</v>
      </c>
      <c r="O114">
        <v>20</v>
      </c>
      <c r="P114">
        <v>4</v>
      </c>
      <c r="Q114">
        <v>792</v>
      </c>
      <c r="R114">
        <v>7</v>
      </c>
      <c r="S114" t="s">
        <v>886</v>
      </c>
      <c r="T114" t="s">
        <v>887</v>
      </c>
      <c r="U114" t="s">
        <v>42</v>
      </c>
      <c r="V114" t="s">
        <v>888</v>
      </c>
      <c r="X114" t="s">
        <v>890</v>
      </c>
      <c r="Y114" t="b">
        <f t="shared" si="1"/>
        <v>0</v>
      </c>
    </row>
    <row r="115" spans="1:25" hidden="1">
      <c r="A115" s="11" t="s">
        <v>9939</v>
      </c>
      <c r="B115" t="s">
        <v>16</v>
      </c>
      <c r="C115" s="2" t="s">
        <v>8335</v>
      </c>
      <c r="D115" t="s">
        <v>892</v>
      </c>
      <c r="E115" t="s">
        <v>891</v>
      </c>
      <c r="H115" t="s">
        <v>897</v>
      </c>
      <c r="K115" t="s">
        <v>893</v>
      </c>
      <c r="M115" t="str">
        <f>"00365564"</f>
        <v>00365564</v>
      </c>
      <c r="N115" s="2" t="str">
        <f>"20040901"</f>
        <v>20040901</v>
      </c>
      <c r="O115">
        <v>45</v>
      </c>
      <c r="P115">
        <v>4</v>
      </c>
      <c r="Q115">
        <v>269</v>
      </c>
      <c r="R115">
        <v>10</v>
      </c>
      <c r="S115" t="s">
        <v>894</v>
      </c>
      <c r="T115" t="s">
        <v>895</v>
      </c>
      <c r="U115" t="s">
        <v>464</v>
      </c>
      <c r="V115" t="s">
        <v>896</v>
      </c>
      <c r="X115" t="s">
        <v>898</v>
      </c>
      <c r="Y115" t="b">
        <f t="shared" si="1"/>
        <v>1</v>
      </c>
    </row>
    <row r="116" spans="1:25" hidden="1">
      <c r="A116" s="11" t="s">
        <v>9939</v>
      </c>
      <c r="B116" t="s">
        <v>16</v>
      </c>
      <c r="C116" s="2" t="s">
        <v>8342</v>
      </c>
      <c r="D116" t="s">
        <v>900</v>
      </c>
      <c r="E116" t="s">
        <v>899</v>
      </c>
      <c r="H116" t="s">
        <v>905</v>
      </c>
      <c r="K116" t="s">
        <v>901</v>
      </c>
      <c r="M116" t="str">
        <f>"09713336"</f>
        <v>09713336</v>
      </c>
      <c r="N116" s="2" t="str">
        <f>"20120901"</f>
        <v>20120901</v>
      </c>
      <c r="O116">
        <v>24</v>
      </c>
      <c r="P116">
        <v>2</v>
      </c>
      <c r="Q116">
        <v>125</v>
      </c>
      <c r="R116">
        <v>19</v>
      </c>
      <c r="S116" t="s">
        <v>902</v>
      </c>
      <c r="T116" t="s">
        <v>903</v>
      </c>
      <c r="U116" t="s">
        <v>15</v>
      </c>
      <c r="V116" t="s">
        <v>904</v>
      </c>
      <c r="X116" t="s">
        <v>906</v>
      </c>
      <c r="Y116" t="b">
        <f t="shared" si="1"/>
        <v>1</v>
      </c>
    </row>
    <row r="117" spans="1:25">
      <c r="A117" s="11" t="s">
        <v>9939</v>
      </c>
      <c r="B117" t="s">
        <v>16</v>
      </c>
      <c r="C117" s="2" t="s">
        <v>8349</v>
      </c>
      <c r="D117" t="s">
        <v>908</v>
      </c>
      <c r="E117" t="s">
        <v>907</v>
      </c>
      <c r="F117">
        <v>1</v>
      </c>
      <c r="H117" t="s">
        <v>913</v>
      </c>
      <c r="I117">
        <v>1</v>
      </c>
      <c r="K117" t="s">
        <v>909</v>
      </c>
      <c r="M117" t="str">
        <f>"01041169"</f>
        <v>01041169</v>
      </c>
      <c r="N117" s="2" t="str">
        <f>"20190101"</f>
        <v>20190101</v>
      </c>
      <c r="O117">
        <v>27</v>
      </c>
      <c r="S117" t="s">
        <v>910</v>
      </c>
      <c r="U117" t="s">
        <v>911</v>
      </c>
      <c r="V117" t="s">
        <v>912</v>
      </c>
      <c r="X117" t="s">
        <v>914</v>
      </c>
      <c r="Y117" t="b">
        <f t="shared" si="1"/>
        <v>0</v>
      </c>
    </row>
    <row r="118" spans="1:25">
      <c r="A118" s="11" t="s">
        <v>9939</v>
      </c>
      <c r="B118" t="s">
        <v>16</v>
      </c>
      <c r="C118" s="2" t="s">
        <v>8342</v>
      </c>
      <c r="D118" t="s">
        <v>916</v>
      </c>
      <c r="E118" t="s">
        <v>915</v>
      </c>
      <c r="F118">
        <v>1</v>
      </c>
      <c r="H118" t="s">
        <v>921</v>
      </c>
      <c r="I118">
        <v>1</v>
      </c>
      <c r="K118" t="s">
        <v>917</v>
      </c>
      <c r="M118" t="str">
        <f>"15388220"</f>
        <v>15388220</v>
      </c>
      <c r="N118" s="2" t="str">
        <f>"20121001"</f>
        <v>20121001</v>
      </c>
      <c r="O118">
        <v>11</v>
      </c>
      <c r="P118">
        <v>4</v>
      </c>
      <c r="Q118">
        <v>306</v>
      </c>
      <c r="R118">
        <v>17</v>
      </c>
      <c r="S118" t="s">
        <v>918</v>
      </c>
      <c r="T118" t="s">
        <v>919</v>
      </c>
      <c r="U118" t="s">
        <v>87</v>
      </c>
      <c r="V118" t="s">
        <v>920</v>
      </c>
      <c r="X118" t="s">
        <v>922</v>
      </c>
      <c r="Y118" t="b">
        <f t="shared" si="1"/>
        <v>0</v>
      </c>
    </row>
    <row r="119" spans="1:25">
      <c r="A119" s="11" t="s">
        <v>9939</v>
      </c>
      <c r="B119" t="s">
        <v>16</v>
      </c>
      <c r="C119" s="2" t="s">
        <v>8338</v>
      </c>
      <c r="D119" t="s">
        <v>924</v>
      </c>
      <c r="E119" t="s">
        <v>923</v>
      </c>
      <c r="F119">
        <v>1</v>
      </c>
      <c r="H119" t="s">
        <v>929</v>
      </c>
      <c r="I119">
        <v>1</v>
      </c>
      <c r="J119" t="s">
        <v>9952</v>
      </c>
      <c r="K119" t="s">
        <v>925</v>
      </c>
      <c r="M119" t="str">
        <f>"00378046"</f>
        <v>00378046</v>
      </c>
      <c r="N119" s="2" t="str">
        <f>"20060701"</f>
        <v>20060701</v>
      </c>
      <c r="O119">
        <v>51</v>
      </c>
      <c r="P119">
        <v>3</v>
      </c>
      <c r="Q119">
        <v>243</v>
      </c>
      <c r="R119">
        <v>13</v>
      </c>
      <c r="S119" t="s">
        <v>926</v>
      </c>
      <c r="T119" t="s">
        <v>927</v>
      </c>
      <c r="U119" t="s">
        <v>675</v>
      </c>
      <c r="V119" t="s">
        <v>928</v>
      </c>
      <c r="X119" t="s">
        <v>930</v>
      </c>
      <c r="Y119" t="b">
        <f t="shared" si="1"/>
        <v>0</v>
      </c>
    </row>
    <row r="120" spans="1:25">
      <c r="A120" s="11" t="s">
        <v>9939</v>
      </c>
      <c r="B120" t="s">
        <v>16</v>
      </c>
      <c r="C120" s="2" t="s">
        <v>8334</v>
      </c>
      <c r="D120" t="s">
        <v>932</v>
      </c>
      <c r="E120" t="s">
        <v>931</v>
      </c>
      <c r="F120">
        <v>1</v>
      </c>
      <c r="H120" t="s">
        <v>937</v>
      </c>
      <c r="I120">
        <v>1</v>
      </c>
      <c r="J120" t="s">
        <v>9952</v>
      </c>
      <c r="K120" t="s">
        <v>933</v>
      </c>
      <c r="M120" t="str">
        <f>"00103853"</f>
        <v>00103853</v>
      </c>
      <c r="N120" s="2" t="str">
        <f>"20140501"</f>
        <v>20140501</v>
      </c>
      <c r="O120">
        <v>50</v>
      </c>
      <c r="P120">
        <v>4</v>
      </c>
      <c r="Q120">
        <v>497</v>
      </c>
      <c r="R120">
        <v>7</v>
      </c>
      <c r="S120" t="s">
        <v>934</v>
      </c>
      <c r="T120" t="s">
        <v>935</v>
      </c>
      <c r="U120" t="s">
        <v>42</v>
      </c>
      <c r="V120" t="s">
        <v>936</v>
      </c>
      <c r="X120" t="s">
        <v>938</v>
      </c>
      <c r="Y120" t="b">
        <f t="shared" si="1"/>
        <v>0</v>
      </c>
    </row>
    <row r="121" spans="1:25">
      <c r="A121" s="11" t="s">
        <v>9939</v>
      </c>
      <c r="B121" t="s">
        <v>69</v>
      </c>
      <c r="C121" s="2" t="s">
        <v>8334</v>
      </c>
      <c r="D121" t="s">
        <v>940</v>
      </c>
      <c r="E121" t="s">
        <v>939</v>
      </c>
      <c r="F121">
        <v>1</v>
      </c>
      <c r="H121" t="s">
        <v>943</v>
      </c>
      <c r="I121">
        <v>1</v>
      </c>
      <c r="K121" t="s">
        <v>65</v>
      </c>
      <c r="L121" t="str">
        <f>"9781303422966"</f>
        <v>9781303422966</v>
      </c>
      <c r="M121" t="str">
        <f>"04194209"</f>
        <v>04194209</v>
      </c>
      <c r="N121" s="2" t="str">
        <f>"20140101"</f>
        <v>20140101</v>
      </c>
      <c r="O121">
        <v>75</v>
      </c>
      <c r="P121" t="s">
        <v>447</v>
      </c>
      <c r="S121" t="s">
        <v>941</v>
      </c>
      <c r="U121" t="s">
        <v>68</v>
      </c>
      <c r="V121" t="s">
        <v>942</v>
      </c>
      <c r="X121" t="s">
        <v>944</v>
      </c>
      <c r="Y121" t="b">
        <f t="shared" si="1"/>
        <v>0</v>
      </c>
    </row>
    <row r="122" spans="1:25" hidden="1">
      <c r="A122" s="11" t="s">
        <v>9939</v>
      </c>
      <c r="B122" t="s">
        <v>16</v>
      </c>
      <c r="C122" s="2" t="s">
        <v>8340</v>
      </c>
      <c r="D122" t="s">
        <v>946</v>
      </c>
      <c r="E122" t="s">
        <v>945</v>
      </c>
      <c r="H122" t="s">
        <v>950</v>
      </c>
      <c r="K122" t="s">
        <v>40</v>
      </c>
      <c r="M122" t="str">
        <f>"15571912"</f>
        <v>15571912</v>
      </c>
      <c r="N122" s="2" t="str">
        <f>"20180601"</f>
        <v>20180601</v>
      </c>
      <c r="O122">
        <v>20</v>
      </c>
      <c r="P122">
        <v>3</v>
      </c>
      <c r="Q122">
        <v>546</v>
      </c>
      <c r="R122">
        <v>15</v>
      </c>
      <c r="S122" t="s">
        <v>947</v>
      </c>
      <c r="T122" t="s">
        <v>948</v>
      </c>
      <c r="U122" t="s">
        <v>42</v>
      </c>
      <c r="V122" t="s">
        <v>949</v>
      </c>
      <c r="X122" t="s">
        <v>951</v>
      </c>
      <c r="Y122" t="b">
        <f t="shared" si="1"/>
        <v>1</v>
      </c>
    </row>
    <row r="123" spans="1:25">
      <c r="A123" s="11" t="s">
        <v>9939</v>
      </c>
      <c r="B123" t="s">
        <v>16</v>
      </c>
      <c r="C123" s="2" t="s">
        <v>8340</v>
      </c>
      <c r="D123" t="s">
        <v>953</v>
      </c>
      <c r="E123" t="s">
        <v>952</v>
      </c>
      <c r="F123">
        <v>1</v>
      </c>
      <c r="H123" t="s">
        <v>957</v>
      </c>
      <c r="I123">
        <v>1</v>
      </c>
      <c r="K123" t="s">
        <v>40</v>
      </c>
      <c r="M123" t="str">
        <f>"15571912"</f>
        <v>15571912</v>
      </c>
      <c r="N123" s="2" t="str">
        <f>"20181001"</f>
        <v>20181001</v>
      </c>
      <c r="O123">
        <v>20</v>
      </c>
      <c r="P123">
        <v>5</v>
      </c>
      <c r="Q123">
        <v>1103</v>
      </c>
      <c r="R123">
        <v>6</v>
      </c>
      <c r="S123" t="s">
        <v>954</v>
      </c>
      <c r="T123" t="s">
        <v>955</v>
      </c>
      <c r="U123" t="s">
        <v>42</v>
      </c>
      <c r="V123" t="s">
        <v>956</v>
      </c>
      <c r="X123" t="s">
        <v>958</v>
      </c>
      <c r="Y123" t="b">
        <f t="shared" si="1"/>
        <v>0</v>
      </c>
    </row>
    <row r="124" spans="1:25">
      <c r="A124" s="11" t="s">
        <v>9939</v>
      </c>
      <c r="B124" t="s">
        <v>16</v>
      </c>
      <c r="C124" s="2" t="s">
        <v>8334</v>
      </c>
      <c r="D124" t="s">
        <v>960</v>
      </c>
      <c r="E124" t="s">
        <v>959</v>
      </c>
      <c r="F124">
        <v>1</v>
      </c>
      <c r="H124" t="s">
        <v>966</v>
      </c>
      <c r="I124">
        <v>1</v>
      </c>
      <c r="K124" t="s">
        <v>961</v>
      </c>
      <c r="M124" t="str">
        <f>"15564908"</f>
        <v>15564908</v>
      </c>
      <c r="N124" s="2" t="str">
        <f>"20140101"</f>
        <v>20140101</v>
      </c>
      <c r="O124">
        <v>8</v>
      </c>
      <c r="P124">
        <v>2</v>
      </c>
      <c r="Q124">
        <v>3</v>
      </c>
      <c r="R124">
        <v>17</v>
      </c>
      <c r="S124" t="s">
        <v>962</v>
      </c>
      <c r="T124" t="s">
        <v>963</v>
      </c>
      <c r="U124" t="s">
        <v>964</v>
      </c>
      <c r="V124" t="s">
        <v>965</v>
      </c>
      <c r="X124" t="s">
        <v>967</v>
      </c>
      <c r="Y124" t="b">
        <f t="shared" si="1"/>
        <v>0</v>
      </c>
    </row>
    <row r="125" spans="1:25" hidden="1">
      <c r="A125" s="11" t="s">
        <v>9939</v>
      </c>
      <c r="B125" t="s">
        <v>16</v>
      </c>
      <c r="C125" s="2" t="s">
        <v>8340</v>
      </c>
      <c r="D125" t="s">
        <v>969</v>
      </c>
      <c r="E125" t="s">
        <v>968</v>
      </c>
      <c r="H125" t="s">
        <v>974</v>
      </c>
      <c r="K125" t="s">
        <v>970</v>
      </c>
      <c r="M125" t="str">
        <f>"10999809"</f>
        <v>10999809</v>
      </c>
      <c r="N125" s="2" t="str">
        <f>"20180101"</f>
        <v>20180101</v>
      </c>
      <c r="O125">
        <v>24</v>
      </c>
      <c r="P125">
        <v>1</v>
      </c>
      <c r="Q125">
        <v>126</v>
      </c>
      <c r="R125">
        <v>13</v>
      </c>
      <c r="S125" t="s">
        <v>971</v>
      </c>
      <c r="T125" t="s">
        <v>972</v>
      </c>
      <c r="U125" t="s">
        <v>183</v>
      </c>
      <c r="V125" t="s">
        <v>973</v>
      </c>
      <c r="X125" t="s">
        <v>975</v>
      </c>
      <c r="Y125" t="b">
        <f t="shared" si="1"/>
        <v>1</v>
      </c>
    </row>
    <row r="126" spans="1:25">
      <c r="A126" s="11" t="s">
        <v>9939</v>
      </c>
      <c r="B126" t="s">
        <v>16</v>
      </c>
      <c r="C126" s="2" t="s">
        <v>8346</v>
      </c>
      <c r="D126" t="s">
        <v>977</v>
      </c>
      <c r="E126" t="s">
        <v>976</v>
      </c>
      <c r="F126">
        <v>1</v>
      </c>
      <c r="H126" t="s">
        <v>981</v>
      </c>
      <c r="I126">
        <v>0</v>
      </c>
      <c r="J126" t="s">
        <v>9265</v>
      </c>
      <c r="K126" t="s">
        <v>40</v>
      </c>
      <c r="M126" t="str">
        <f>"15571912"</f>
        <v>15571912</v>
      </c>
      <c r="N126" s="2" t="str">
        <f>"20111201"</f>
        <v>20111201</v>
      </c>
      <c r="O126">
        <v>13</v>
      </c>
      <c r="P126">
        <v>6</v>
      </c>
      <c r="Q126">
        <v>1116</v>
      </c>
      <c r="R126">
        <v>9</v>
      </c>
      <c r="S126" t="s">
        <v>978</v>
      </c>
      <c r="T126" t="s">
        <v>979</v>
      </c>
      <c r="U126" t="s">
        <v>42</v>
      </c>
      <c r="V126" t="s">
        <v>980</v>
      </c>
      <c r="X126" t="s">
        <v>982</v>
      </c>
      <c r="Y126" t="b">
        <f t="shared" si="1"/>
        <v>0</v>
      </c>
    </row>
    <row r="127" spans="1:25">
      <c r="A127" s="11" t="s">
        <v>9939</v>
      </c>
      <c r="B127" t="s">
        <v>16</v>
      </c>
      <c r="C127" s="2" t="s">
        <v>8346</v>
      </c>
      <c r="D127" t="s">
        <v>984</v>
      </c>
      <c r="E127" t="s">
        <v>983</v>
      </c>
      <c r="F127">
        <v>1</v>
      </c>
      <c r="H127" t="s">
        <v>988</v>
      </c>
      <c r="I127">
        <v>1</v>
      </c>
      <c r="J127" t="s">
        <v>9952</v>
      </c>
      <c r="K127" t="s">
        <v>933</v>
      </c>
      <c r="M127" t="str">
        <f>"00103853"</f>
        <v>00103853</v>
      </c>
      <c r="N127" s="2" t="str">
        <f>"20110201"</f>
        <v>20110201</v>
      </c>
      <c r="O127">
        <v>47</v>
      </c>
      <c r="P127">
        <v>1</v>
      </c>
      <c r="Q127">
        <v>24</v>
      </c>
      <c r="R127">
        <v>11</v>
      </c>
      <c r="S127" t="s">
        <v>985</v>
      </c>
      <c r="T127" t="s">
        <v>986</v>
      </c>
      <c r="U127" t="s">
        <v>42</v>
      </c>
      <c r="V127" t="s">
        <v>987</v>
      </c>
      <c r="X127" t="s">
        <v>989</v>
      </c>
      <c r="Y127" t="b">
        <f t="shared" si="1"/>
        <v>0</v>
      </c>
    </row>
    <row r="128" spans="1:25" hidden="1">
      <c r="A128" s="11" t="s">
        <v>9939</v>
      </c>
      <c r="B128" t="s">
        <v>16</v>
      </c>
      <c r="C128" s="2" t="s">
        <v>8343</v>
      </c>
      <c r="D128" t="s">
        <v>991</v>
      </c>
      <c r="E128" t="s">
        <v>990</v>
      </c>
      <c r="H128" t="s">
        <v>995</v>
      </c>
      <c r="K128" t="s">
        <v>970</v>
      </c>
      <c r="M128" t="str">
        <f>"10999809"</f>
        <v>10999809</v>
      </c>
      <c r="N128" s="2" t="str">
        <f>"20170401"</f>
        <v>20170401</v>
      </c>
      <c r="O128">
        <v>23</v>
      </c>
      <c r="P128">
        <v>2</v>
      </c>
      <c r="Q128">
        <v>258</v>
      </c>
      <c r="R128">
        <v>11</v>
      </c>
      <c r="S128" t="s">
        <v>992</v>
      </c>
      <c r="T128" t="s">
        <v>993</v>
      </c>
      <c r="U128" t="s">
        <v>183</v>
      </c>
      <c r="V128" t="s">
        <v>994</v>
      </c>
      <c r="X128" t="s">
        <v>996</v>
      </c>
      <c r="Y128" t="b">
        <f t="shared" si="1"/>
        <v>1</v>
      </c>
    </row>
    <row r="129" spans="1:25">
      <c r="A129" s="11" t="s">
        <v>9939</v>
      </c>
      <c r="B129" t="s">
        <v>69</v>
      </c>
      <c r="C129" s="2" t="s">
        <v>8342</v>
      </c>
      <c r="D129" t="s">
        <v>998</v>
      </c>
      <c r="E129" t="s">
        <v>997</v>
      </c>
      <c r="F129">
        <v>1</v>
      </c>
      <c r="H129" t="s">
        <v>1002</v>
      </c>
      <c r="I129">
        <v>1</v>
      </c>
      <c r="K129" t="s">
        <v>101</v>
      </c>
      <c r="L129" t="str">
        <f>"9781124781167"</f>
        <v>9781124781167</v>
      </c>
      <c r="M129" t="str">
        <f>"04194217"</f>
        <v>04194217</v>
      </c>
      <c r="N129" s="2" t="str">
        <f>"20120101"</f>
        <v>20120101</v>
      </c>
      <c r="O129">
        <v>72</v>
      </c>
      <c r="P129" t="s">
        <v>999</v>
      </c>
      <c r="Q129">
        <v>6433</v>
      </c>
      <c r="R129">
        <v>1</v>
      </c>
      <c r="S129" t="s">
        <v>1000</v>
      </c>
      <c r="U129" t="s">
        <v>68</v>
      </c>
      <c r="V129" t="s">
        <v>1001</v>
      </c>
      <c r="X129" t="s">
        <v>1003</v>
      </c>
      <c r="Y129" t="b">
        <f t="shared" si="1"/>
        <v>0</v>
      </c>
    </row>
    <row r="130" spans="1:25">
      <c r="A130" s="11" t="s">
        <v>9939</v>
      </c>
      <c r="B130" t="s">
        <v>16</v>
      </c>
      <c r="C130" s="2" t="s">
        <v>8353</v>
      </c>
      <c r="D130" t="s">
        <v>1005</v>
      </c>
      <c r="E130" t="s">
        <v>1004</v>
      </c>
      <c r="F130">
        <v>1</v>
      </c>
      <c r="H130" t="s">
        <v>1010</v>
      </c>
      <c r="I130">
        <v>0</v>
      </c>
      <c r="J130" t="s">
        <v>9237</v>
      </c>
      <c r="K130" t="s">
        <v>1006</v>
      </c>
      <c r="M130" t="str">
        <f>"13894978"</f>
        <v>13894978</v>
      </c>
      <c r="N130" s="2" t="str">
        <f>"20160401"</f>
        <v>20160401</v>
      </c>
      <c r="O130">
        <v>17</v>
      </c>
      <c r="P130">
        <v>2</v>
      </c>
      <c r="Q130">
        <v>507</v>
      </c>
      <c r="R130">
        <v>25</v>
      </c>
      <c r="S130" t="s">
        <v>1007</v>
      </c>
      <c r="T130" t="s">
        <v>1008</v>
      </c>
      <c r="U130" t="s">
        <v>42</v>
      </c>
      <c r="V130" t="s">
        <v>1009</v>
      </c>
      <c r="X130" t="s">
        <v>1011</v>
      </c>
      <c r="Y130" t="b">
        <f t="shared" ref="Y130:Y193" si="2">COUNTIF(X:X, X130)&gt;1</f>
        <v>0</v>
      </c>
    </row>
    <row r="131" spans="1:25">
      <c r="A131" s="11" t="s">
        <v>9939</v>
      </c>
      <c r="B131" t="s">
        <v>16</v>
      </c>
      <c r="C131" s="2" t="s">
        <v>8346</v>
      </c>
      <c r="D131" t="s">
        <v>1013</v>
      </c>
      <c r="E131" t="s">
        <v>1012</v>
      </c>
      <c r="F131">
        <v>1</v>
      </c>
      <c r="H131" t="s">
        <v>1018</v>
      </c>
      <c r="I131">
        <v>1</v>
      </c>
      <c r="K131" t="s">
        <v>1014</v>
      </c>
      <c r="M131" t="str">
        <f>"02724332"</f>
        <v>02724332</v>
      </c>
      <c r="N131" s="2" t="str">
        <f>"20110601"</f>
        <v>20110601</v>
      </c>
      <c r="O131">
        <v>31</v>
      </c>
      <c r="P131">
        <v>6</v>
      </c>
      <c r="Q131">
        <v>984</v>
      </c>
      <c r="R131">
        <v>16</v>
      </c>
      <c r="S131" t="s">
        <v>1015</v>
      </c>
      <c r="T131" t="s">
        <v>1016</v>
      </c>
      <c r="U131" t="s">
        <v>730</v>
      </c>
      <c r="V131" t="s">
        <v>1017</v>
      </c>
      <c r="X131" t="s">
        <v>1019</v>
      </c>
      <c r="Y131" t="b">
        <f t="shared" si="2"/>
        <v>0</v>
      </c>
    </row>
    <row r="132" spans="1:25">
      <c r="A132" s="11" t="s">
        <v>9939</v>
      </c>
      <c r="B132" t="s">
        <v>16</v>
      </c>
      <c r="C132" s="2" t="s">
        <v>8334</v>
      </c>
      <c r="D132" t="s">
        <v>1021</v>
      </c>
      <c r="E132" t="s">
        <v>1020</v>
      </c>
      <c r="F132">
        <v>1</v>
      </c>
      <c r="H132" t="s">
        <v>1025</v>
      </c>
      <c r="I132">
        <v>1</v>
      </c>
      <c r="K132" t="s">
        <v>40</v>
      </c>
      <c r="M132" t="str">
        <f>"15571912"</f>
        <v>15571912</v>
      </c>
      <c r="N132" s="2" t="str">
        <f>"20141201"</f>
        <v>20141201</v>
      </c>
      <c r="O132">
        <v>16</v>
      </c>
      <c r="P132">
        <v>6</v>
      </c>
      <c r="Q132">
        <v>1121</v>
      </c>
      <c r="R132">
        <v>9</v>
      </c>
      <c r="S132" t="s">
        <v>1022</v>
      </c>
      <c r="T132" t="s">
        <v>1023</v>
      </c>
      <c r="U132" t="s">
        <v>42</v>
      </c>
      <c r="V132" t="s">
        <v>1024</v>
      </c>
      <c r="X132" t="s">
        <v>1026</v>
      </c>
      <c r="Y132" t="b">
        <f t="shared" si="2"/>
        <v>0</v>
      </c>
    </row>
    <row r="133" spans="1:25">
      <c r="A133" s="11" t="s">
        <v>9939</v>
      </c>
      <c r="B133" t="s">
        <v>16</v>
      </c>
      <c r="C133" s="2" t="s">
        <v>8349</v>
      </c>
      <c r="D133" t="s">
        <v>1028</v>
      </c>
      <c r="E133" t="s">
        <v>1027</v>
      </c>
      <c r="F133">
        <v>1</v>
      </c>
      <c r="H133" t="s">
        <v>1033</v>
      </c>
      <c r="I133">
        <v>1</v>
      </c>
      <c r="K133" t="s">
        <v>1029</v>
      </c>
      <c r="M133" t="str">
        <f>"01401971"</f>
        <v>01401971</v>
      </c>
      <c r="N133" s="2" t="str">
        <f>"20191001"</f>
        <v>20191001</v>
      </c>
      <c r="O133">
        <v>76</v>
      </c>
      <c r="Q133">
        <v>129</v>
      </c>
      <c r="R133">
        <v>10</v>
      </c>
      <c r="S133" t="s">
        <v>1030</v>
      </c>
      <c r="T133" t="s">
        <v>1031</v>
      </c>
      <c r="U133" t="s">
        <v>34</v>
      </c>
      <c r="V133" t="s">
        <v>1032</v>
      </c>
      <c r="X133" t="s">
        <v>1034</v>
      </c>
      <c r="Y133" t="b">
        <f t="shared" si="2"/>
        <v>0</v>
      </c>
    </row>
    <row r="134" spans="1:25">
      <c r="A134" s="11" t="s">
        <v>9939</v>
      </c>
      <c r="B134" t="s">
        <v>16</v>
      </c>
      <c r="C134" s="2" t="s">
        <v>8348</v>
      </c>
      <c r="D134" t="s">
        <v>1036</v>
      </c>
      <c r="E134" t="s">
        <v>1035</v>
      </c>
      <c r="F134">
        <v>1</v>
      </c>
      <c r="H134" t="s">
        <v>1041</v>
      </c>
      <c r="I134">
        <v>1</v>
      </c>
      <c r="K134" t="s">
        <v>1037</v>
      </c>
      <c r="M134" t="str">
        <f>"13894986"</f>
        <v>13894986</v>
      </c>
      <c r="N134" s="2" t="str">
        <f>"20050601"</f>
        <v>20050601</v>
      </c>
      <c r="O134">
        <v>6</v>
      </c>
      <c r="P134">
        <v>2</v>
      </c>
      <c r="Q134">
        <v>139</v>
      </c>
      <c r="R134">
        <v>10</v>
      </c>
      <c r="S134" t="s">
        <v>1038</v>
      </c>
      <c r="T134" t="s">
        <v>1039</v>
      </c>
      <c r="U134" t="s">
        <v>42</v>
      </c>
      <c r="V134" t="s">
        <v>1040</v>
      </c>
      <c r="X134" t="s">
        <v>1042</v>
      </c>
      <c r="Y134" t="b">
        <f t="shared" si="2"/>
        <v>0</v>
      </c>
    </row>
    <row r="135" spans="1:25">
      <c r="A135" s="11" t="s">
        <v>9939</v>
      </c>
      <c r="B135" t="s">
        <v>16</v>
      </c>
      <c r="C135" s="2" t="s">
        <v>8349</v>
      </c>
      <c r="D135" t="s">
        <v>1044</v>
      </c>
      <c r="E135" t="s">
        <v>1043</v>
      </c>
      <c r="F135">
        <v>1</v>
      </c>
      <c r="H135" t="s">
        <v>1048</v>
      </c>
      <c r="I135">
        <v>1</v>
      </c>
      <c r="K135" t="s">
        <v>40</v>
      </c>
      <c r="M135" t="str">
        <f>"15571912"</f>
        <v>15571912</v>
      </c>
      <c r="N135" s="2" t="str">
        <f>"20191001"</f>
        <v>20191001</v>
      </c>
      <c r="O135">
        <v>21</v>
      </c>
      <c r="P135">
        <v>5</v>
      </c>
      <c r="Q135">
        <v>1052</v>
      </c>
      <c r="R135">
        <v>9</v>
      </c>
      <c r="S135" t="s">
        <v>1045</v>
      </c>
      <c r="T135" t="s">
        <v>1046</v>
      </c>
      <c r="U135" t="s">
        <v>42</v>
      </c>
      <c r="V135" t="s">
        <v>1047</v>
      </c>
      <c r="X135" t="s">
        <v>1049</v>
      </c>
      <c r="Y135" t="b">
        <f t="shared" si="2"/>
        <v>0</v>
      </c>
    </row>
    <row r="136" spans="1:25">
      <c r="A136" s="11" t="s">
        <v>9939</v>
      </c>
      <c r="B136" t="s">
        <v>69</v>
      </c>
      <c r="C136" s="2" t="s">
        <v>8353</v>
      </c>
      <c r="D136" t="s">
        <v>1051</v>
      </c>
      <c r="E136" t="s">
        <v>1050</v>
      </c>
      <c r="F136">
        <v>1</v>
      </c>
      <c r="H136" t="s">
        <v>1054</v>
      </c>
      <c r="I136">
        <v>1</v>
      </c>
      <c r="K136" t="s">
        <v>65</v>
      </c>
      <c r="L136" t="str">
        <f>"9781321770896"</f>
        <v>9781321770896</v>
      </c>
      <c r="M136" t="str">
        <f>"04194209"</f>
        <v>04194209</v>
      </c>
      <c r="N136" s="2" t="str">
        <f>"20160101"</f>
        <v>20160101</v>
      </c>
      <c r="O136">
        <v>76</v>
      </c>
      <c r="P136" t="s">
        <v>378</v>
      </c>
      <c r="S136" t="s">
        <v>1052</v>
      </c>
      <c r="U136" t="s">
        <v>68</v>
      </c>
      <c r="V136" t="s">
        <v>1053</v>
      </c>
      <c r="X136" t="s">
        <v>1055</v>
      </c>
      <c r="Y136" t="b">
        <f t="shared" si="2"/>
        <v>0</v>
      </c>
    </row>
    <row r="137" spans="1:25">
      <c r="A137" s="11" t="s">
        <v>9939</v>
      </c>
      <c r="B137" t="s">
        <v>16</v>
      </c>
      <c r="C137" s="2" t="s">
        <v>8347</v>
      </c>
      <c r="D137" t="s">
        <v>1057</v>
      </c>
      <c r="E137" t="s">
        <v>1056</v>
      </c>
      <c r="F137">
        <v>1</v>
      </c>
      <c r="H137" t="s">
        <v>1061</v>
      </c>
      <c r="I137">
        <v>1</v>
      </c>
      <c r="K137" t="s">
        <v>664</v>
      </c>
      <c r="M137" t="str">
        <f>"00332941"</f>
        <v>00332941</v>
      </c>
      <c r="N137" s="2" t="str">
        <f>"20081001"</f>
        <v>20081001</v>
      </c>
      <c r="O137">
        <v>103</v>
      </c>
      <c r="P137">
        <v>2</v>
      </c>
      <c r="Q137">
        <v>566</v>
      </c>
      <c r="R137">
        <v>11</v>
      </c>
      <c r="S137" t="s">
        <v>1058</v>
      </c>
      <c r="T137" t="s">
        <v>1059</v>
      </c>
      <c r="U137" t="s">
        <v>664</v>
      </c>
      <c r="V137" t="s">
        <v>1060</v>
      </c>
      <c r="X137" t="s">
        <v>1062</v>
      </c>
      <c r="Y137" t="b">
        <f t="shared" si="2"/>
        <v>0</v>
      </c>
    </row>
    <row r="138" spans="1:25">
      <c r="A138" s="11" t="s">
        <v>9939</v>
      </c>
      <c r="B138" t="s">
        <v>16</v>
      </c>
      <c r="C138" s="2" t="s">
        <v>8347</v>
      </c>
      <c r="D138" t="s">
        <v>1064</v>
      </c>
      <c r="E138" t="s">
        <v>1063</v>
      </c>
      <c r="F138">
        <v>1</v>
      </c>
      <c r="H138" t="s">
        <v>1069</v>
      </c>
      <c r="I138">
        <v>1</v>
      </c>
      <c r="K138" t="s">
        <v>1065</v>
      </c>
      <c r="M138" t="str">
        <f>"08862605"</f>
        <v>08862605</v>
      </c>
      <c r="N138" s="2" t="str">
        <f>"20081101"</f>
        <v>20081101</v>
      </c>
      <c r="O138">
        <v>23</v>
      </c>
      <c r="P138">
        <v>11</v>
      </c>
      <c r="Q138">
        <v>1654</v>
      </c>
      <c r="R138">
        <v>10</v>
      </c>
      <c r="S138" t="s">
        <v>1066</v>
      </c>
      <c r="T138" t="s">
        <v>1067</v>
      </c>
      <c r="U138" t="s">
        <v>15</v>
      </c>
      <c r="V138" t="s">
        <v>1068</v>
      </c>
      <c r="X138" t="s">
        <v>1070</v>
      </c>
      <c r="Y138" t="b">
        <f t="shared" si="2"/>
        <v>0</v>
      </c>
    </row>
    <row r="139" spans="1:25">
      <c r="A139" s="11" t="s">
        <v>9939</v>
      </c>
      <c r="B139" t="s">
        <v>16</v>
      </c>
      <c r="C139" s="2" t="s">
        <v>8353</v>
      </c>
      <c r="D139" t="s">
        <v>1072</v>
      </c>
      <c r="E139" t="s">
        <v>1071</v>
      </c>
      <c r="F139">
        <v>1</v>
      </c>
      <c r="H139" t="s">
        <v>1077</v>
      </c>
      <c r="I139">
        <v>1</v>
      </c>
      <c r="K139" t="s">
        <v>1073</v>
      </c>
      <c r="M139" t="str">
        <f>"13634615"</f>
        <v>13634615</v>
      </c>
      <c r="N139" s="2" t="str">
        <f>"20160201"</f>
        <v>20160201</v>
      </c>
      <c r="O139">
        <v>53</v>
      </c>
      <c r="P139">
        <v>1</v>
      </c>
      <c r="Q139">
        <v>124</v>
      </c>
      <c r="R139">
        <v>21</v>
      </c>
      <c r="S139" t="s">
        <v>1074</v>
      </c>
      <c r="T139" t="s">
        <v>1075</v>
      </c>
      <c r="U139" t="s">
        <v>15</v>
      </c>
      <c r="V139" t="s">
        <v>1076</v>
      </c>
      <c r="X139" t="s">
        <v>1078</v>
      </c>
      <c r="Y139" t="b">
        <f t="shared" si="2"/>
        <v>0</v>
      </c>
    </row>
    <row r="140" spans="1:25">
      <c r="A140" s="11" t="s">
        <v>9939</v>
      </c>
      <c r="B140" t="s">
        <v>16</v>
      </c>
      <c r="C140" s="2" t="s">
        <v>8348</v>
      </c>
      <c r="D140" t="s">
        <v>1080</v>
      </c>
      <c r="E140" t="s">
        <v>1079</v>
      </c>
      <c r="F140">
        <v>1</v>
      </c>
      <c r="H140" t="s">
        <v>1085</v>
      </c>
      <c r="I140">
        <v>1</v>
      </c>
      <c r="K140" t="s">
        <v>1081</v>
      </c>
      <c r="M140" t="str">
        <f>"00333085"</f>
        <v>00333085</v>
      </c>
      <c r="N140" s="2" t="str">
        <f>"20050101"</f>
        <v>20050101</v>
      </c>
      <c r="O140">
        <v>42</v>
      </c>
      <c r="P140">
        <v>1</v>
      </c>
      <c r="Q140">
        <v>27</v>
      </c>
      <c r="R140">
        <v>12</v>
      </c>
      <c r="S140" t="s">
        <v>1082</v>
      </c>
      <c r="T140" t="s">
        <v>1083</v>
      </c>
      <c r="U140" t="s">
        <v>224</v>
      </c>
      <c r="V140" t="s">
        <v>1084</v>
      </c>
      <c r="X140" t="s">
        <v>1086</v>
      </c>
      <c r="Y140" t="b">
        <f t="shared" si="2"/>
        <v>0</v>
      </c>
    </row>
    <row r="141" spans="1:25" hidden="1">
      <c r="A141" s="11" t="s">
        <v>9939</v>
      </c>
      <c r="B141" t="s">
        <v>16</v>
      </c>
      <c r="C141" s="2" t="s">
        <v>8341</v>
      </c>
      <c r="D141" t="s">
        <v>1088</v>
      </c>
      <c r="E141" t="s">
        <v>1087</v>
      </c>
      <c r="H141" t="s">
        <v>1092</v>
      </c>
      <c r="K141" t="s">
        <v>132</v>
      </c>
      <c r="M141" t="str">
        <f>"01471767"</f>
        <v>01471767</v>
      </c>
      <c r="N141" s="2" t="str">
        <f>"20090701"</f>
        <v>20090701</v>
      </c>
      <c r="O141">
        <v>33</v>
      </c>
      <c r="P141">
        <v>4</v>
      </c>
      <c r="Q141">
        <v>291</v>
      </c>
      <c r="R141">
        <v>10</v>
      </c>
      <c r="S141" t="s">
        <v>1089</v>
      </c>
      <c r="T141" t="s">
        <v>1090</v>
      </c>
      <c r="U141" t="s">
        <v>34</v>
      </c>
      <c r="V141" t="s">
        <v>1091</v>
      </c>
      <c r="X141" t="s">
        <v>1093</v>
      </c>
      <c r="Y141" t="b">
        <f t="shared" si="2"/>
        <v>1</v>
      </c>
    </row>
    <row r="142" spans="1:25" hidden="1">
      <c r="A142" s="11" t="s">
        <v>9939</v>
      </c>
      <c r="B142" t="s">
        <v>69</v>
      </c>
      <c r="C142" s="2" t="s">
        <v>8338</v>
      </c>
      <c r="D142" t="s">
        <v>1095</v>
      </c>
      <c r="E142" t="s">
        <v>1094</v>
      </c>
      <c r="H142" t="s">
        <v>1099</v>
      </c>
      <c r="K142" t="s">
        <v>65</v>
      </c>
      <c r="M142" t="str">
        <f>"04194209"</f>
        <v>04194209</v>
      </c>
      <c r="N142" s="2" t="str">
        <f>"20060101"</f>
        <v>20060101</v>
      </c>
      <c r="O142">
        <v>66</v>
      </c>
      <c r="P142" t="s">
        <v>1096</v>
      </c>
      <c r="Q142">
        <v>2847</v>
      </c>
      <c r="R142">
        <v>1</v>
      </c>
      <c r="S142" t="s">
        <v>1097</v>
      </c>
      <c r="U142" t="s">
        <v>68</v>
      </c>
      <c r="V142" t="s">
        <v>1098</v>
      </c>
      <c r="X142" t="s">
        <v>1100</v>
      </c>
      <c r="Y142" t="b">
        <f t="shared" si="2"/>
        <v>1</v>
      </c>
    </row>
    <row r="143" spans="1:25">
      <c r="A143" s="11" t="s">
        <v>9939</v>
      </c>
      <c r="B143" t="s">
        <v>16</v>
      </c>
      <c r="C143" s="2" t="s">
        <v>8347</v>
      </c>
      <c r="D143" t="s">
        <v>1102</v>
      </c>
      <c r="E143" t="s">
        <v>1101</v>
      </c>
      <c r="F143">
        <v>1</v>
      </c>
      <c r="H143" t="s">
        <v>1106</v>
      </c>
      <c r="I143">
        <v>1</v>
      </c>
      <c r="K143" t="s">
        <v>970</v>
      </c>
      <c r="M143" t="str">
        <f>"10999809"</f>
        <v>10999809</v>
      </c>
      <c r="N143" s="2" t="str">
        <f>"20080701"</f>
        <v>20080701</v>
      </c>
      <c r="O143">
        <v>14</v>
      </c>
      <c r="P143">
        <v>3</v>
      </c>
      <c r="Q143">
        <v>246</v>
      </c>
      <c r="R143">
        <v>10</v>
      </c>
      <c r="S143" t="s">
        <v>1103</v>
      </c>
      <c r="T143" t="s">
        <v>1104</v>
      </c>
      <c r="U143" t="s">
        <v>183</v>
      </c>
      <c r="V143" t="s">
        <v>1105</v>
      </c>
      <c r="X143" t="s">
        <v>1107</v>
      </c>
      <c r="Y143" t="b">
        <f t="shared" si="2"/>
        <v>0</v>
      </c>
    </row>
    <row r="144" spans="1:25">
      <c r="A144" s="11" t="s">
        <v>9939</v>
      </c>
      <c r="B144" t="s">
        <v>69</v>
      </c>
      <c r="C144" s="2" t="s">
        <v>8347</v>
      </c>
      <c r="D144" t="s">
        <v>1109</v>
      </c>
      <c r="E144" t="s">
        <v>1108</v>
      </c>
      <c r="F144">
        <v>1</v>
      </c>
      <c r="H144" t="s">
        <v>1113</v>
      </c>
      <c r="I144">
        <v>0</v>
      </c>
      <c r="J144" t="s">
        <v>9265</v>
      </c>
      <c r="K144" t="s">
        <v>65</v>
      </c>
      <c r="M144" t="str">
        <f>"04194209"</f>
        <v>04194209</v>
      </c>
      <c r="N144" s="2" t="str">
        <f>"20080101"</f>
        <v>20080101</v>
      </c>
      <c r="O144">
        <v>69</v>
      </c>
      <c r="P144" t="s">
        <v>1110</v>
      </c>
      <c r="Q144">
        <v>1553</v>
      </c>
      <c r="R144">
        <v>1</v>
      </c>
      <c r="S144" t="s">
        <v>1111</v>
      </c>
      <c r="U144" t="s">
        <v>68</v>
      </c>
      <c r="V144" t="s">
        <v>1112</v>
      </c>
      <c r="X144" t="s">
        <v>1114</v>
      </c>
      <c r="Y144" t="b">
        <f t="shared" si="2"/>
        <v>0</v>
      </c>
    </row>
    <row r="145" spans="1:25">
      <c r="A145" s="11" t="s">
        <v>9939</v>
      </c>
      <c r="B145" t="s">
        <v>69</v>
      </c>
      <c r="C145" s="2" t="s">
        <v>8353</v>
      </c>
      <c r="D145" t="s">
        <v>1116</v>
      </c>
      <c r="E145" t="s">
        <v>1115</v>
      </c>
      <c r="F145">
        <v>1</v>
      </c>
      <c r="H145" t="s">
        <v>1119</v>
      </c>
      <c r="I145">
        <v>1</v>
      </c>
      <c r="K145" t="s">
        <v>101</v>
      </c>
      <c r="L145" t="str">
        <f>"9781321620627"</f>
        <v>9781321620627</v>
      </c>
      <c r="M145" t="str">
        <f>"04194217"</f>
        <v>04194217</v>
      </c>
      <c r="N145" s="2" t="str">
        <f>"20160101"</f>
        <v>20160101</v>
      </c>
      <c r="O145">
        <v>76</v>
      </c>
      <c r="P145" t="s">
        <v>284</v>
      </c>
      <c r="S145" t="s">
        <v>1117</v>
      </c>
      <c r="U145" t="s">
        <v>68</v>
      </c>
      <c r="V145" t="s">
        <v>1118</v>
      </c>
      <c r="X145" t="s">
        <v>1120</v>
      </c>
      <c r="Y145" t="b">
        <f t="shared" si="2"/>
        <v>0</v>
      </c>
    </row>
    <row r="146" spans="1:25">
      <c r="A146" s="11" t="s">
        <v>9939</v>
      </c>
      <c r="B146" t="s">
        <v>16</v>
      </c>
      <c r="C146" s="2" t="s">
        <v>8339</v>
      </c>
      <c r="D146" t="s">
        <v>1122</v>
      </c>
      <c r="E146" t="s">
        <v>1121</v>
      </c>
      <c r="F146">
        <v>1</v>
      </c>
      <c r="H146" t="s">
        <v>1126</v>
      </c>
      <c r="I146">
        <v>0</v>
      </c>
      <c r="J146" t="s">
        <v>9265</v>
      </c>
      <c r="K146" t="s">
        <v>40</v>
      </c>
      <c r="M146" t="str">
        <f>"15571912"</f>
        <v>15571912</v>
      </c>
      <c r="N146" s="2" t="str">
        <f>"20150201"</f>
        <v>20150201</v>
      </c>
      <c r="O146">
        <v>17</v>
      </c>
      <c r="P146">
        <v>1</v>
      </c>
      <c r="Q146">
        <v>181</v>
      </c>
      <c r="R146">
        <v>11</v>
      </c>
      <c r="S146" t="s">
        <v>1123</v>
      </c>
      <c r="T146" t="s">
        <v>1124</v>
      </c>
      <c r="U146" t="s">
        <v>42</v>
      </c>
      <c r="V146" t="s">
        <v>1125</v>
      </c>
      <c r="X146" t="s">
        <v>1127</v>
      </c>
      <c r="Y146" t="b">
        <f t="shared" si="2"/>
        <v>0</v>
      </c>
    </row>
    <row r="147" spans="1:25">
      <c r="A147" s="11" t="s">
        <v>9939</v>
      </c>
      <c r="B147" t="s">
        <v>16</v>
      </c>
      <c r="C147" s="2" t="s">
        <v>8344</v>
      </c>
      <c r="D147" t="s">
        <v>1129</v>
      </c>
      <c r="E147" t="s">
        <v>1128</v>
      </c>
      <c r="F147">
        <v>1</v>
      </c>
      <c r="H147" t="s">
        <v>1133</v>
      </c>
      <c r="I147">
        <v>1</v>
      </c>
      <c r="K147" t="s">
        <v>140</v>
      </c>
      <c r="M147" t="str">
        <f>"02779536"</f>
        <v>02779536</v>
      </c>
      <c r="N147" s="2" t="str">
        <f>"20100301"</f>
        <v>20100301</v>
      </c>
      <c r="O147">
        <v>70</v>
      </c>
      <c r="P147">
        <v>5</v>
      </c>
      <c r="Q147">
        <v>677</v>
      </c>
      <c r="R147">
        <v>7</v>
      </c>
      <c r="S147" t="s">
        <v>1130</v>
      </c>
      <c r="T147" t="s">
        <v>1131</v>
      </c>
      <c r="U147" t="s">
        <v>34</v>
      </c>
      <c r="V147" t="s">
        <v>1132</v>
      </c>
      <c r="X147" t="s">
        <v>1134</v>
      </c>
      <c r="Y147" t="b">
        <f t="shared" si="2"/>
        <v>0</v>
      </c>
    </row>
    <row r="148" spans="1:25" hidden="1">
      <c r="A148" s="11" t="s">
        <v>9939</v>
      </c>
      <c r="B148" t="s">
        <v>16</v>
      </c>
      <c r="C148" s="2" t="s">
        <v>8335</v>
      </c>
      <c r="D148" t="s">
        <v>1136</v>
      </c>
      <c r="E148" t="s">
        <v>1135</v>
      </c>
      <c r="H148" t="s">
        <v>1142</v>
      </c>
      <c r="K148" t="s">
        <v>1137</v>
      </c>
      <c r="M148" t="str">
        <f>"08838534"</f>
        <v>08838534</v>
      </c>
      <c r="N148" s="2" t="str">
        <f>"20040701"</f>
        <v>20040701</v>
      </c>
      <c r="O148">
        <v>32</v>
      </c>
      <c r="P148">
        <v>3</v>
      </c>
      <c r="Q148">
        <v>155</v>
      </c>
      <c r="R148">
        <v>13</v>
      </c>
      <c r="S148" t="s">
        <v>1138</v>
      </c>
      <c r="T148" t="s">
        <v>1139</v>
      </c>
      <c r="U148" t="s">
        <v>1140</v>
      </c>
      <c r="V148" t="s">
        <v>1141</v>
      </c>
      <c r="X148" t="s">
        <v>1143</v>
      </c>
      <c r="Y148" t="b">
        <f t="shared" si="2"/>
        <v>1</v>
      </c>
    </row>
    <row r="149" spans="1:25">
      <c r="A149" s="11" t="s">
        <v>9939</v>
      </c>
      <c r="B149" t="s">
        <v>69</v>
      </c>
      <c r="C149" s="2" t="s">
        <v>8341</v>
      </c>
      <c r="D149" t="s">
        <v>1145</v>
      </c>
      <c r="E149" t="s">
        <v>1144</v>
      </c>
      <c r="F149">
        <v>1</v>
      </c>
      <c r="H149" t="s">
        <v>1148</v>
      </c>
      <c r="I149">
        <v>1</v>
      </c>
      <c r="K149" t="s">
        <v>101</v>
      </c>
      <c r="L149" t="str">
        <f>"9781109029963"</f>
        <v>9781109029963</v>
      </c>
      <c r="M149" t="str">
        <f>"04194217"</f>
        <v>04194217</v>
      </c>
      <c r="N149" s="2" t="str">
        <f>"20090101"</f>
        <v>20090101</v>
      </c>
      <c r="O149">
        <v>70</v>
      </c>
      <c r="P149" t="s">
        <v>102</v>
      </c>
      <c r="Q149">
        <v>1331</v>
      </c>
      <c r="R149">
        <v>1</v>
      </c>
      <c r="S149" t="s">
        <v>1146</v>
      </c>
      <c r="U149" t="s">
        <v>68</v>
      </c>
      <c r="V149" t="s">
        <v>1147</v>
      </c>
      <c r="X149" t="s">
        <v>1149</v>
      </c>
      <c r="Y149" t="b">
        <f t="shared" si="2"/>
        <v>0</v>
      </c>
    </row>
    <row r="150" spans="1:25">
      <c r="A150" s="11" t="s">
        <v>9939</v>
      </c>
      <c r="B150" t="s">
        <v>16</v>
      </c>
      <c r="C150" s="2" t="s">
        <v>8349</v>
      </c>
      <c r="D150" t="s">
        <v>1151</v>
      </c>
      <c r="E150" t="s">
        <v>1150</v>
      </c>
      <c r="F150">
        <v>1</v>
      </c>
      <c r="H150" t="s">
        <v>1156</v>
      </c>
      <c r="I150">
        <v>1</v>
      </c>
      <c r="J150" t="s">
        <v>9952</v>
      </c>
      <c r="K150" t="s">
        <v>1152</v>
      </c>
      <c r="M150" t="str">
        <f>"00208728"</f>
        <v>00208728</v>
      </c>
      <c r="N150" s="2" t="str">
        <f>"20190301"</f>
        <v>20190301</v>
      </c>
      <c r="O150">
        <v>62</v>
      </c>
      <c r="P150">
        <v>2</v>
      </c>
      <c r="Q150">
        <v>622</v>
      </c>
      <c r="R150">
        <v>18</v>
      </c>
      <c r="S150" t="s">
        <v>1153</v>
      </c>
      <c r="T150" t="s">
        <v>1154</v>
      </c>
      <c r="U150" t="s">
        <v>15</v>
      </c>
      <c r="V150" t="s">
        <v>1155</v>
      </c>
      <c r="X150" t="s">
        <v>1157</v>
      </c>
      <c r="Y150" t="b">
        <f t="shared" si="2"/>
        <v>0</v>
      </c>
    </row>
    <row r="151" spans="1:25" hidden="1">
      <c r="A151" s="11" t="s">
        <v>9939</v>
      </c>
      <c r="B151" t="s">
        <v>16</v>
      </c>
      <c r="C151" s="2" t="s">
        <v>8341</v>
      </c>
      <c r="D151" t="s">
        <v>1159</v>
      </c>
      <c r="E151" t="s">
        <v>1158</v>
      </c>
      <c r="H151" t="s">
        <v>1164</v>
      </c>
      <c r="K151" t="s">
        <v>1160</v>
      </c>
      <c r="M151" t="str">
        <f>"01693816"</f>
        <v>01693816</v>
      </c>
      <c r="N151" s="2" t="str">
        <f>"20090901"</f>
        <v>20090901</v>
      </c>
      <c r="O151">
        <v>24</v>
      </c>
      <c r="P151">
        <v>3</v>
      </c>
      <c r="Q151">
        <v>273</v>
      </c>
      <c r="R151">
        <v>18</v>
      </c>
      <c r="S151" t="s">
        <v>1161</v>
      </c>
      <c r="T151" t="s">
        <v>1162</v>
      </c>
      <c r="U151" t="s">
        <v>42</v>
      </c>
      <c r="V151" t="s">
        <v>1163</v>
      </c>
      <c r="X151" t="s">
        <v>1165</v>
      </c>
      <c r="Y151" t="b">
        <f t="shared" si="2"/>
        <v>1</v>
      </c>
    </row>
    <row r="152" spans="1:25" hidden="1">
      <c r="A152" s="11" t="s">
        <v>9939</v>
      </c>
      <c r="B152" t="s">
        <v>16</v>
      </c>
      <c r="C152" s="2" t="s">
        <v>8337</v>
      </c>
      <c r="D152" t="s">
        <v>1167</v>
      </c>
      <c r="E152" t="s">
        <v>1166</v>
      </c>
      <c r="H152" t="s">
        <v>1172</v>
      </c>
      <c r="K152" t="s">
        <v>1168</v>
      </c>
      <c r="M152" t="str">
        <f>"19481985"</f>
        <v>19481985</v>
      </c>
      <c r="N152" s="2" t="str">
        <f>"20130901"</f>
        <v>20130901</v>
      </c>
      <c r="O152">
        <v>4</v>
      </c>
      <c r="P152">
        <v>3</v>
      </c>
      <c r="Q152">
        <v>217</v>
      </c>
      <c r="R152">
        <v>10</v>
      </c>
      <c r="S152" t="s">
        <v>1169</v>
      </c>
      <c r="T152" t="s">
        <v>1170</v>
      </c>
      <c r="U152" t="s">
        <v>183</v>
      </c>
      <c r="V152" t="s">
        <v>1171</v>
      </c>
      <c r="X152" t="s">
        <v>1173</v>
      </c>
      <c r="Y152" t="b">
        <f t="shared" si="2"/>
        <v>1</v>
      </c>
    </row>
    <row r="153" spans="1:25">
      <c r="A153" s="11" t="s">
        <v>9939</v>
      </c>
      <c r="B153" t="s">
        <v>69</v>
      </c>
      <c r="C153" s="2" t="s">
        <v>8339</v>
      </c>
      <c r="E153" t="s">
        <v>1174</v>
      </c>
      <c r="F153">
        <v>1</v>
      </c>
      <c r="H153" t="s">
        <v>1178</v>
      </c>
      <c r="I153">
        <v>1</v>
      </c>
      <c r="J153" t="s">
        <v>9952</v>
      </c>
      <c r="K153" t="s">
        <v>65</v>
      </c>
      <c r="L153" t="str">
        <f>"9781321192841"</f>
        <v>9781321192841</v>
      </c>
      <c r="M153" t="str">
        <f>"04194209"</f>
        <v>04194209</v>
      </c>
      <c r="N153" s="2" t="str">
        <f>"20150101"</f>
        <v>20150101</v>
      </c>
      <c r="O153">
        <v>75</v>
      </c>
      <c r="P153" t="s">
        <v>1175</v>
      </c>
      <c r="S153" t="s">
        <v>1176</v>
      </c>
      <c r="U153" t="s">
        <v>68</v>
      </c>
      <c r="V153" t="s">
        <v>1177</v>
      </c>
      <c r="X153" t="s">
        <v>1179</v>
      </c>
      <c r="Y153" t="b">
        <f t="shared" si="2"/>
        <v>0</v>
      </c>
    </row>
    <row r="154" spans="1:25" hidden="1">
      <c r="A154" s="11" t="s">
        <v>9939</v>
      </c>
      <c r="B154" t="s">
        <v>16</v>
      </c>
      <c r="C154" s="2" t="s">
        <v>8343</v>
      </c>
      <c r="D154" t="s">
        <v>1151</v>
      </c>
      <c r="E154" t="s">
        <v>1174</v>
      </c>
      <c r="H154" t="s">
        <v>1184</v>
      </c>
      <c r="K154" t="s">
        <v>1180</v>
      </c>
      <c r="M154" t="str">
        <f>"15313204"</f>
        <v>15313204</v>
      </c>
      <c r="N154" s="2" t="str">
        <f>"20171001"</f>
        <v>20171001</v>
      </c>
      <c r="O154">
        <v>26</v>
      </c>
      <c r="P154">
        <v>4</v>
      </c>
      <c r="Q154">
        <v>347</v>
      </c>
      <c r="R154">
        <v>19</v>
      </c>
      <c r="S154" t="s">
        <v>1181</v>
      </c>
      <c r="T154" t="s">
        <v>1182</v>
      </c>
      <c r="U154" t="s">
        <v>87</v>
      </c>
      <c r="V154" t="s">
        <v>1183</v>
      </c>
      <c r="X154" t="s">
        <v>1185</v>
      </c>
      <c r="Y154" t="b">
        <f t="shared" si="2"/>
        <v>1</v>
      </c>
    </row>
    <row r="155" spans="1:25" hidden="1">
      <c r="A155" s="11" t="s">
        <v>9939</v>
      </c>
      <c r="B155" t="s">
        <v>16</v>
      </c>
      <c r="C155" s="2" t="s">
        <v>8337</v>
      </c>
      <c r="D155" t="s">
        <v>1187</v>
      </c>
      <c r="E155" t="s">
        <v>1186</v>
      </c>
      <c r="H155" t="s">
        <v>1191</v>
      </c>
      <c r="K155" t="s">
        <v>40</v>
      </c>
      <c r="M155" t="str">
        <f>"15571912"</f>
        <v>15571912</v>
      </c>
      <c r="N155" s="2" t="str">
        <f>"20130601"</f>
        <v>20130601</v>
      </c>
      <c r="O155">
        <v>15</v>
      </c>
      <c r="P155">
        <v>3</v>
      </c>
      <c r="Q155">
        <v>484</v>
      </c>
      <c r="R155">
        <v>8</v>
      </c>
      <c r="S155" t="s">
        <v>1188</v>
      </c>
      <c r="T155" t="s">
        <v>1189</v>
      </c>
      <c r="U155" t="s">
        <v>42</v>
      </c>
      <c r="V155" t="s">
        <v>1190</v>
      </c>
      <c r="X155" t="s">
        <v>1192</v>
      </c>
      <c r="Y155" t="b">
        <f t="shared" si="2"/>
        <v>1</v>
      </c>
    </row>
    <row r="156" spans="1:25">
      <c r="A156" s="11" t="s">
        <v>9939</v>
      </c>
      <c r="B156" t="s">
        <v>16</v>
      </c>
      <c r="C156" s="2" t="s">
        <v>8337</v>
      </c>
      <c r="D156" t="s">
        <v>1194</v>
      </c>
      <c r="E156" t="s">
        <v>1193</v>
      </c>
      <c r="F156">
        <v>1</v>
      </c>
      <c r="H156" t="s">
        <v>1198</v>
      </c>
      <c r="I156">
        <v>1</v>
      </c>
      <c r="J156" t="s">
        <v>9952</v>
      </c>
      <c r="K156" t="s">
        <v>48</v>
      </c>
      <c r="M156" t="str">
        <f>"07399863"</f>
        <v>07399863</v>
      </c>
      <c r="N156" s="2" t="str">
        <f>"20130801"</f>
        <v>20130801</v>
      </c>
      <c r="O156">
        <v>35</v>
      </c>
      <c r="P156">
        <v>3</v>
      </c>
      <c r="Q156">
        <v>370</v>
      </c>
      <c r="R156">
        <v>20</v>
      </c>
      <c r="S156" t="s">
        <v>1195</v>
      </c>
      <c r="T156" t="s">
        <v>1196</v>
      </c>
      <c r="U156" t="s">
        <v>15</v>
      </c>
      <c r="V156" t="s">
        <v>1197</v>
      </c>
      <c r="X156" t="s">
        <v>1199</v>
      </c>
      <c r="Y156" t="b">
        <f t="shared" si="2"/>
        <v>0</v>
      </c>
    </row>
    <row r="157" spans="1:25">
      <c r="A157" s="11" t="s">
        <v>9939</v>
      </c>
      <c r="B157" t="s">
        <v>16</v>
      </c>
      <c r="C157" s="2" t="s">
        <v>8334</v>
      </c>
      <c r="D157" t="s">
        <v>1201</v>
      </c>
      <c r="E157" t="s">
        <v>1200</v>
      </c>
      <c r="F157">
        <v>1</v>
      </c>
      <c r="H157" t="s">
        <v>1206</v>
      </c>
      <c r="I157">
        <v>1</v>
      </c>
      <c r="J157" t="s">
        <v>9952</v>
      </c>
      <c r="K157" t="s">
        <v>1202</v>
      </c>
      <c r="M157" t="str">
        <f>"00333174"</f>
        <v>00333174</v>
      </c>
      <c r="N157" s="2" t="str">
        <f>"20140601"</f>
        <v>20140601</v>
      </c>
      <c r="O157">
        <v>76</v>
      </c>
      <c r="P157">
        <v>5</v>
      </c>
      <c r="Q157">
        <v>320</v>
      </c>
      <c r="R157">
        <v>7</v>
      </c>
      <c r="S157" t="s">
        <v>1203</v>
      </c>
      <c r="T157" t="s">
        <v>1204</v>
      </c>
      <c r="U157" t="s">
        <v>25</v>
      </c>
      <c r="V157" t="s">
        <v>1205</v>
      </c>
      <c r="X157" t="s">
        <v>1207</v>
      </c>
      <c r="Y157" t="b">
        <f t="shared" si="2"/>
        <v>0</v>
      </c>
    </row>
    <row r="158" spans="1:25">
      <c r="A158" s="11" t="s">
        <v>9939</v>
      </c>
      <c r="B158" t="s">
        <v>16</v>
      </c>
      <c r="C158" s="2" t="s">
        <v>8341</v>
      </c>
      <c r="D158" t="s">
        <v>1209</v>
      </c>
      <c r="E158" t="s">
        <v>1208</v>
      </c>
      <c r="F158">
        <v>1</v>
      </c>
      <c r="H158" t="s">
        <v>1213</v>
      </c>
      <c r="I158">
        <v>1</v>
      </c>
      <c r="J158" t="s">
        <v>9952</v>
      </c>
      <c r="K158" t="s">
        <v>576</v>
      </c>
      <c r="M158" t="str">
        <f>"10911359"</f>
        <v>10911359</v>
      </c>
      <c r="N158" s="2" t="str">
        <f>"20090701"</f>
        <v>20090701</v>
      </c>
      <c r="O158">
        <v>19</v>
      </c>
      <c r="P158">
        <v>5</v>
      </c>
      <c r="Q158">
        <v>626</v>
      </c>
      <c r="R158">
        <v>9</v>
      </c>
      <c r="S158" t="s">
        <v>1210</v>
      </c>
      <c r="T158" t="s">
        <v>1211</v>
      </c>
      <c r="U158" t="s">
        <v>87</v>
      </c>
      <c r="V158" t="s">
        <v>1212</v>
      </c>
      <c r="X158" t="s">
        <v>1214</v>
      </c>
      <c r="Y158" t="b">
        <f t="shared" si="2"/>
        <v>0</v>
      </c>
    </row>
    <row r="159" spans="1:25">
      <c r="A159" s="11" t="s">
        <v>9939</v>
      </c>
      <c r="B159" t="s">
        <v>16</v>
      </c>
      <c r="C159" s="2" t="s">
        <v>8342</v>
      </c>
      <c r="D159" t="s">
        <v>1216</v>
      </c>
      <c r="E159" t="s">
        <v>1215</v>
      </c>
      <c r="F159">
        <v>1</v>
      </c>
      <c r="H159" t="s">
        <v>1220</v>
      </c>
      <c r="I159">
        <v>1</v>
      </c>
      <c r="J159" t="s">
        <v>9952</v>
      </c>
      <c r="K159" t="s">
        <v>48</v>
      </c>
      <c r="M159" t="str">
        <f>"07399863"</f>
        <v>07399863</v>
      </c>
      <c r="N159" s="2" t="str">
        <f>"20120201"</f>
        <v>20120201</v>
      </c>
      <c r="O159">
        <v>34</v>
      </c>
      <c r="P159">
        <v>1</v>
      </c>
      <c r="Q159">
        <v>61</v>
      </c>
      <c r="R159">
        <v>16</v>
      </c>
      <c r="S159" t="s">
        <v>1217</v>
      </c>
      <c r="T159" t="s">
        <v>1218</v>
      </c>
      <c r="U159" t="s">
        <v>15</v>
      </c>
      <c r="V159" t="s">
        <v>1219</v>
      </c>
      <c r="X159" t="s">
        <v>1221</v>
      </c>
      <c r="Y159" t="b">
        <f t="shared" si="2"/>
        <v>0</v>
      </c>
    </row>
    <row r="160" spans="1:25">
      <c r="A160" s="11" t="s">
        <v>9939</v>
      </c>
      <c r="B160" t="s">
        <v>16</v>
      </c>
      <c r="C160" s="2" t="s">
        <v>8346</v>
      </c>
      <c r="D160" t="s">
        <v>1223</v>
      </c>
      <c r="E160" t="s">
        <v>1222</v>
      </c>
      <c r="F160">
        <v>1</v>
      </c>
      <c r="H160" t="s">
        <v>1229</v>
      </c>
      <c r="I160">
        <v>1</v>
      </c>
      <c r="J160" t="s">
        <v>9952</v>
      </c>
      <c r="K160" t="s">
        <v>1224</v>
      </c>
      <c r="M160" t="str">
        <f>"09540261"</f>
        <v>09540261</v>
      </c>
      <c r="N160" s="2" t="str">
        <f>"20110201"</f>
        <v>20110201</v>
      </c>
      <c r="O160">
        <v>23</v>
      </c>
      <c r="P160">
        <v>1</v>
      </c>
      <c r="Q160">
        <v>84</v>
      </c>
      <c r="R160">
        <v>9</v>
      </c>
      <c r="S160" t="s">
        <v>1225</v>
      </c>
      <c r="T160" t="s">
        <v>1226</v>
      </c>
      <c r="U160" t="s">
        <v>1227</v>
      </c>
      <c r="V160" t="s">
        <v>1228</v>
      </c>
      <c r="X160" t="s">
        <v>1230</v>
      </c>
      <c r="Y160" t="b">
        <f t="shared" si="2"/>
        <v>0</v>
      </c>
    </row>
    <row r="161" spans="1:25" hidden="1">
      <c r="A161" s="11" t="s">
        <v>9939</v>
      </c>
      <c r="B161" t="s">
        <v>16</v>
      </c>
      <c r="C161" s="2" t="s">
        <v>8346</v>
      </c>
      <c r="D161" t="s">
        <v>1232</v>
      </c>
      <c r="E161" t="s">
        <v>1231</v>
      </c>
      <c r="H161" t="s">
        <v>1238</v>
      </c>
      <c r="K161" t="s">
        <v>1233</v>
      </c>
      <c r="M161" t="str">
        <f>"11387416"</f>
        <v>11387416</v>
      </c>
      <c r="N161" s="2" t="str">
        <f>"20110501"</f>
        <v>20110501</v>
      </c>
      <c r="O161">
        <v>14</v>
      </c>
      <c r="P161">
        <v>1</v>
      </c>
      <c r="Q161">
        <v>227</v>
      </c>
      <c r="R161">
        <v>10</v>
      </c>
      <c r="S161" t="s">
        <v>1234</v>
      </c>
      <c r="T161" t="s">
        <v>1235</v>
      </c>
      <c r="U161" t="s">
        <v>1236</v>
      </c>
      <c r="V161" t="s">
        <v>1237</v>
      </c>
      <c r="X161" t="s">
        <v>1239</v>
      </c>
      <c r="Y161" t="b">
        <f t="shared" si="2"/>
        <v>1</v>
      </c>
    </row>
    <row r="162" spans="1:25">
      <c r="A162" s="11" t="s">
        <v>9939</v>
      </c>
      <c r="B162" t="s">
        <v>16</v>
      </c>
      <c r="C162" s="2" t="s">
        <v>8343</v>
      </c>
      <c r="D162" t="s">
        <v>1241</v>
      </c>
      <c r="E162" t="s">
        <v>1240</v>
      </c>
      <c r="F162">
        <v>1</v>
      </c>
      <c r="H162" t="s">
        <v>1246</v>
      </c>
      <c r="I162">
        <v>1</v>
      </c>
      <c r="K162" t="s">
        <v>1242</v>
      </c>
      <c r="M162" t="str">
        <f>"08876185"</f>
        <v>08876185</v>
      </c>
      <c r="N162" s="2" t="str">
        <f>"20170501"</f>
        <v>20170501</v>
      </c>
      <c r="O162">
        <v>48</v>
      </c>
      <c r="Q162">
        <v>28</v>
      </c>
      <c r="R162">
        <v>8</v>
      </c>
      <c r="S162" t="s">
        <v>1243</v>
      </c>
      <c r="T162" t="s">
        <v>1244</v>
      </c>
      <c r="U162" t="s">
        <v>34</v>
      </c>
      <c r="V162" t="s">
        <v>1245</v>
      </c>
      <c r="X162" t="s">
        <v>1247</v>
      </c>
      <c r="Y162" t="b">
        <f t="shared" si="2"/>
        <v>0</v>
      </c>
    </row>
    <row r="163" spans="1:25" hidden="1">
      <c r="A163" s="11" t="s">
        <v>9939</v>
      </c>
      <c r="B163" t="s">
        <v>16</v>
      </c>
      <c r="C163" s="2" t="s">
        <v>8340</v>
      </c>
      <c r="D163" t="s">
        <v>1249</v>
      </c>
      <c r="E163" t="s">
        <v>1248</v>
      </c>
      <c r="H163" t="s">
        <v>1253</v>
      </c>
      <c r="K163" t="s">
        <v>1073</v>
      </c>
      <c r="M163" t="str">
        <f>"13634615"</f>
        <v>13634615</v>
      </c>
      <c r="N163" s="2" t="str">
        <f>"20181001"</f>
        <v>20181001</v>
      </c>
      <c r="O163">
        <v>55</v>
      </c>
      <c r="P163">
        <v>5</v>
      </c>
      <c r="Q163">
        <v>710</v>
      </c>
      <c r="R163">
        <v>20</v>
      </c>
      <c r="S163" t="s">
        <v>1250</v>
      </c>
      <c r="T163" t="s">
        <v>1251</v>
      </c>
      <c r="U163" t="s">
        <v>15</v>
      </c>
      <c r="V163" t="s">
        <v>1252</v>
      </c>
      <c r="X163" t="s">
        <v>1254</v>
      </c>
      <c r="Y163" t="b">
        <f t="shared" si="2"/>
        <v>1</v>
      </c>
    </row>
    <row r="164" spans="1:25" hidden="1">
      <c r="A164" s="11" t="s">
        <v>9939</v>
      </c>
      <c r="B164" t="s">
        <v>16</v>
      </c>
      <c r="C164" s="2" t="s">
        <v>8349</v>
      </c>
      <c r="D164" t="s">
        <v>1256</v>
      </c>
      <c r="E164" t="s">
        <v>1255</v>
      </c>
      <c r="F164">
        <v>0</v>
      </c>
      <c r="G164" t="s">
        <v>9178</v>
      </c>
      <c r="H164" t="s">
        <v>1261</v>
      </c>
      <c r="K164" t="s">
        <v>1257</v>
      </c>
      <c r="M164" t="str">
        <f>"03601277"</f>
        <v>03601277</v>
      </c>
      <c r="N164" s="2" t="str">
        <f>"20190801"</f>
        <v>20190801</v>
      </c>
      <c r="O164">
        <v>45</v>
      </c>
      <c r="P164">
        <v>8</v>
      </c>
      <c r="Q164">
        <v>506</v>
      </c>
      <c r="R164">
        <v>13</v>
      </c>
      <c r="S164" t="s">
        <v>1258</v>
      </c>
      <c r="T164" t="s">
        <v>1259</v>
      </c>
      <c r="U164" t="s">
        <v>87</v>
      </c>
      <c r="V164" t="s">
        <v>1260</v>
      </c>
      <c r="X164" t="s">
        <v>1262</v>
      </c>
      <c r="Y164" t="b">
        <f t="shared" si="2"/>
        <v>0</v>
      </c>
    </row>
    <row r="165" spans="1:25">
      <c r="A165" s="11" t="s">
        <v>9939</v>
      </c>
      <c r="B165" t="s">
        <v>16</v>
      </c>
      <c r="C165" s="2" t="s">
        <v>8353</v>
      </c>
      <c r="D165" t="s">
        <v>1264</v>
      </c>
      <c r="E165" t="s">
        <v>1263</v>
      </c>
      <c r="F165">
        <v>1</v>
      </c>
      <c r="H165" t="s">
        <v>1268</v>
      </c>
      <c r="I165">
        <v>1</v>
      </c>
      <c r="K165" t="s">
        <v>40</v>
      </c>
      <c r="M165" t="str">
        <f>"15571912"</f>
        <v>15571912</v>
      </c>
      <c r="N165" s="2" t="str">
        <f>"20160201"</f>
        <v>20160201</v>
      </c>
      <c r="O165">
        <v>18</v>
      </c>
      <c r="P165">
        <v>1</v>
      </c>
      <c r="Q165">
        <v>252</v>
      </c>
      <c r="R165">
        <v>11</v>
      </c>
      <c r="S165" t="s">
        <v>1265</v>
      </c>
      <c r="T165" t="s">
        <v>1266</v>
      </c>
      <c r="U165" t="s">
        <v>42</v>
      </c>
      <c r="V165" t="s">
        <v>1267</v>
      </c>
      <c r="X165" t="s">
        <v>1269</v>
      </c>
      <c r="Y165" t="b">
        <f t="shared" si="2"/>
        <v>0</v>
      </c>
    </row>
    <row r="166" spans="1:25">
      <c r="A166" s="11" t="s">
        <v>9939</v>
      </c>
      <c r="B166" t="s">
        <v>16</v>
      </c>
      <c r="C166" s="2" t="s">
        <v>8340</v>
      </c>
      <c r="D166" t="s">
        <v>1271</v>
      </c>
      <c r="E166" t="s">
        <v>1270</v>
      </c>
      <c r="F166">
        <v>1</v>
      </c>
      <c r="H166" t="s">
        <v>1276</v>
      </c>
      <c r="I166">
        <v>1</v>
      </c>
      <c r="K166" t="s">
        <v>1272</v>
      </c>
      <c r="M166" t="str">
        <f>"13674676"</f>
        <v>13674676</v>
      </c>
      <c r="N166" s="2" t="str">
        <f>"20181101"</f>
        <v>20181101</v>
      </c>
      <c r="O166">
        <v>21</v>
      </c>
      <c r="P166" s="1">
        <v>44478</v>
      </c>
      <c r="Q166" s="1">
        <v>973</v>
      </c>
      <c r="R166">
        <v>13</v>
      </c>
      <c r="S166" t="s">
        <v>1273</v>
      </c>
      <c r="T166" t="s">
        <v>1274</v>
      </c>
      <c r="U166" t="s">
        <v>87</v>
      </c>
      <c r="V166" t="s">
        <v>1275</v>
      </c>
      <c r="X166" t="s">
        <v>1277</v>
      </c>
      <c r="Y166" t="b">
        <f t="shared" si="2"/>
        <v>0</v>
      </c>
    </row>
    <row r="167" spans="1:25">
      <c r="A167" s="11" t="s">
        <v>9939</v>
      </c>
      <c r="B167" t="s">
        <v>16</v>
      </c>
      <c r="C167" s="2" t="s">
        <v>8350</v>
      </c>
      <c r="D167" t="s">
        <v>1279</v>
      </c>
      <c r="E167" t="s">
        <v>1278</v>
      </c>
      <c r="F167">
        <v>1</v>
      </c>
      <c r="H167" t="s">
        <v>1283</v>
      </c>
      <c r="I167">
        <v>1</v>
      </c>
      <c r="K167" t="s">
        <v>132</v>
      </c>
      <c r="M167" t="str">
        <f>"01471767"</f>
        <v>01471767</v>
      </c>
      <c r="N167" s="2" t="str">
        <f>"20210101"</f>
        <v>20210101</v>
      </c>
      <c r="O167">
        <v>80</v>
      </c>
      <c r="Q167">
        <v>78</v>
      </c>
      <c r="R167">
        <v>11</v>
      </c>
      <c r="S167" t="s">
        <v>1280</v>
      </c>
      <c r="T167" t="s">
        <v>1281</v>
      </c>
      <c r="U167" t="s">
        <v>34</v>
      </c>
      <c r="V167" t="s">
        <v>1282</v>
      </c>
      <c r="X167" t="s">
        <v>1284</v>
      </c>
      <c r="Y167" t="b">
        <f t="shared" si="2"/>
        <v>0</v>
      </c>
    </row>
    <row r="168" spans="1:25" hidden="1">
      <c r="A168" s="11" t="s">
        <v>9939</v>
      </c>
      <c r="B168" t="s">
        <v>16</v>
      </c>
      <c r="C168" s="2" t="s">
        <v>8349</v>
      </c>
      <c r="D168" t="s">
        <v>1286</v>
      </c>
      <c r="E168" t="s">
        <v>1285</v>
      </c>
      <c r="F168">
        <v>0</v>
      </c>
      <c r="G168" t="s">
        <v>9178</v>
      </c>
      <c r="H168" t="s">
        <v>1291</v>
      </c>
      <c r="K168" t="s">
        <v>1287</v>
      </c>
      <c r="M168" t="str">
        <f>"20544251"</f>
        <v>20544251</v>
      </c>
      <c r="N168" s="2" t="str">
        <f>"20190603"</f>
        <v>20190603</v>
      </c>
      <c r="O168">
        <v>6</v>
      </c>
      <c r="S168" t="s">
        <v>1288</v>
      </c>
      <c r="T168" t="s">
        <v>1289</v>
      </c>
      <c r="U168" t="s">
        <v>333</v>
      </c>
      <c r="V168" t="s">
        <v>1290</v>
      </c>
      <c r="X168" t="s">
        <v>1292</v>
      </c>
      <c r="Y168" t="b">
        <f t="shared" si="2"/>
        <v>0</v>
      </c>
    </row>
    <row r="169" spans="1:25" hidden="1">
      <c r="A169" s="11" t="s">
        <v>9939</v>
      </c>
      <c r="B169" t="s">
        <v>69</v>
      </c>
      <c r="C169" s="2" t="s">
        <v>8339</v>
      </c>
      <c r="D169" t="s">
        <v>1294</v>
      </c>
      <c r="E169" t="s">
        <v>1293</v>
      </c>
      <c r="H169" t="s">
        <v>1297</v>
      </c>
      <c r="K169" t="s">
        <v>101</v>
      </c>
      <c r="L169" t="str">
        <f>"9781303893131"</f>
        <v>9781303893131</v>
      </c>
      <c r="M169" t="str">
        <f>"04194217"</f>
        <v>04194217</v>
      </c>
      <c r="N169" s="2" t="str">
        <f>"20150101"</f>
        <v>20150101</v>
      </c>
      <c r="O169">
        <v>75</v>
      </c>
      <c r="P169" t="s">
        <v>284</v>
      </c>
      <c r="S169" t="s">
        <v>1295</v>
      </c>
      <c r="U169" t="s">
        <v>68</v>
      </c>
      <c r="V169" t="s">
        <v>1296</v>
      </c>
      <c r="X169" t="s">
        <v>1298</v>
      </c>
      <c r="Y169" t="b">
        <f t="shared" si="2"/>
        <v>1</v>
      </c>
    </row>
    <row r="170" spans="1:25">
      <c r="A170" s="11" t="s">
        <v>9939</v>
      </c>
      <c r="B170" t="s">
        <v>16</v>
      </c>
      <c r="C170" s="2" t="s">
        <v>8335</v>
      </c>
      <c r="D170" t="s">
        <v>1300</v>
      </c>
      <c r="E170" t="s">
        <v>1299</v>
      </c>
      <c r="F170">
        <v>1</v>
      </c>
      <c r="H170" t="s">
        <v>1304</v>
      </c>
      <c r="I170">
        <v>1</v>
      </c>
      <c r="K170" t="s">
        <v>893</v>
      </c>
      <c r="M170" t="str">
        <f>"00365564"</f>
        <v>00365564</v>
      </c>
      <c r="N170" s="2" t="str">
        <f>"20040201"</f>
        <v>20040201</v>
      </c>
      <c r="O170">
        <v>45</v>
      </c>
      <c r="P170">
        <v>1</v>
      </c>
      <c r="Q170">
        <v>15</v>
      </c>
      <c r="R170">
        <v>11</v>
      </c>
      <c r="S170" t="s">
        <v>1301</v>
      </c>
      <c r="T170" t="s">
        <v>1302</v>
      </c>
      <c r="U170" t="s">
        <v>464</v>
      </c>
      <c r="V170" t="s">
        <v>1303</v>
      </c>
      <c r="X170" t="s">
        <v>1305</v>
      </c>
      <c r="Y170" t="b">
        <f t="shared" si="2"/>
        <v>0</v>
      </c>
    </row>
    <row r="171" spans="1:25">
      <c r="A171" s="11" t="s">
        <v>9939</v>
      </c>
      <c r="B171" t="s">
        <v>16</v>
      </c>
      <c r="C171" s="2" t="s">
        <v>8353</v>
      </c>
      <c r="D171" t="s">
        <v>1307</v>
      </c>
      <c r="E171" t="s">
        <v>1306</v>
      </c>
      <c r="F171">
        <v>1</v>
      </c>
      <c r="H171" t="s">
        <v>1312</v>
      </c>
      <c r="I171">
        <v>1</v>
      </c>
      <c r="K171" t="s">
        <v>1308</v>
      </c>
      <c r="M171" t="str">
        <f>"00472891"</f>
        <v>00472891</v>
      </c>
      <c r="N171" s="2" t="str">
        <f>"20160701"</f>
        <v>20160701</v>
      </c>
      <c r="O171">
        <v>45</v>
      </c>
      <c r="P171">
        <v>7</v>
      </c>
      <c r="Q171">
        <v>1380</v>
      </c>
      <c r="R171">
        <v>16</v>
      </c>
      <c r="S171" t="s">
        <v>1309</v>
      </c>
      <c r="T171" t="s">
        <v>1310</v>
      </c>
      <c r="U171" t="s">
        <v>42</v>
      </c>
      <c r="V171" t="s">
        <v>1311</v>
      </c>
      <c r="X171" t="s">
        <v>1313</v>
      </c>
      <c r="Y171" t="b">
        <f t="shared" si="2"/>
        <v>0</v>
      </c>
    </row>
    <row r="172" spans="1:25">
      <c r="A172" s="11" t="s">
        <v>9939</v>
      </c>
      <c r="B172" t="s">
        <v>16</v>
      </c>
      <c r="C172" s="2" t="s">
        <v>8341</v>
      </c>
      <c r="D172" t="s">
        <v>1315</v>
      </c>
      <c r="E172" t="s">
        <v>1314</v>
      </c>
      <c r="F172">
        <v>1</v>
      </c>
      <c r="H172" t="s">
        <v>1320</v>
      </c>
      <c r="I172">
        <v>0</v>
      </c>
      <c r="J172" t="s">
        <v>9245</v>
      </c>
      <c r="K172" t="s">
        <v>1316</v>
      </c>
      <c r="M172" t="str">
        <f>"10579230"</f>
        <v>10579230</v>
      </c>
      <c r="N172" s="2" t="str">
        <f>"20090301"</f>
        <v>20090301</v>
      </c>
      <c r="O172">
        <v>18</v>
      </c>
      <c r="P172">
        <v>3</v>
      </c>
      <c r="Q172">
        <v>291</v>
      </c>
      <c r="R172">
        <v>13</v>
      </c>
      <c r="S172" t="s">
        <v>1317</v>
      </c>
      <c r="T172" t="s">
        <v>1318</v>
      </c>
      <c r="U172" t="s">
        <v>224</v>
      </c>
      <c r="V172" t="s">
        <v>1319</v>
      </c>
      <c r="X172" t="s">
        <v>1321</v>
      </c>
      <c r="Y172" t="b">
        <f t="shared" si="2"/>
        <v>0</v>
      </c>
    </row>
    <row r="173" spans="1:25">
      <c r="A173" s="11" t="s">
        <v>9939</v>
      </c>
      <c r="B173" t="s">
        <v>69</v>
      </c>
      <c r="C173" s="2" t="s">
        <v>8334</v>
      </c>
      <c r="D173" t="s">
        <v>1323</v>
      </c>
      <c r="E173" t="s">
        <v>1322</v>
      </c>
      <c r="F173">
        <v>1</v>
      </c>
      <c r="H173" t="s">
        <v>1327</v>
      </c>
      <c r="I173">
        <v>1</v>
      </c>
      <c r="K173" t="s">
        <v>101</v>
      </c>
      <c r="L173" t="str">
        <f>"9781303327537"</f>
        <v>9781303327537</v>
      </c>
      <c r="M173" t="str">
        <f>"04194217"</f>
        <v>04194217</v>
      </c>
      <c r="N173" s="2" t="str">
        <f>"20140101"</f>
        <v>20140101</v>
      </c>
      <c r="O173">
        <v>74</v>
      </c>
      <c r="P173" t="s">
        <v>1324</v>
      </c>
      <c r="S173" t="s">
        <v>1325</v>
      </c>
      <c r="U173" t="s">
        <v>68</v>
      </c>
      <c r="V173" t="s">
        <v>1326</v>
      </c>
      <c r="X173" t="s">
        <v>1328</v>
      </c>
      <c r="Y173" t="b">
        <f t="shared" si="2"/>
        <v>0</v>
      </c>
    </row>
    <row r="174" spans="1:25" hidden="1">
      <c r="A174" s="11" t="s">
        <v>9939</v>
      </c>
      <c r="B174" t="s">
        <v>16</v>
      </c>
      <c r="C174" s="2" t="s">
        <v>8343</v>
      </c>
      <c r="D174" t="s">
        <v>1330</v>
      </c>
      <c r="E174" t="s">
        <v>1329</v>
      </c>
      <c r="H174" t="s">
        <v>1335</v>
      </c>
      <c r="K174" t="s">
        <v>1331</v>
      </c>
      <c r="M174" t="str">
        <f>"0992986X"</f>
        <v>0992986X</v>
      </c>
      <c r="N174" s="2" t="str">
        <f>"20170213"</f>
        <v>20170213</v>
      </c>
      <c r="O174">
        <v>30</v>
      </c>
      <c r="P174">
        <v>1</v>
      </c>
      <c r="S174" t="s">
        <v>1332</v>
      </c>
      <c r="U174" t="s">
        <v>1333</v>
      </c>
      <c r="V174" t="s">
        <v>1334</v>
      </c>
      <c r="X174" t="s">
        <v>1336</v>
      </c>
      <c r="Y174" t="b">
        <f t="shared" si="2"/>
        <v>1</v>
      </c>
    </row>
    <row r="175" spans="1:25" hidden="1">
      <c r="A175" s="11" t="s">
        <v>9939</v>
      </c>
      <c r="B175" t="s">
        <v>16</v>
      </c>
      <c r="C175" s="2" t="s">
        <v>8338</v>
      </c>
      <c r="D175" t="s">
        <v>1338</v>
      </c>
      <c r="E175" t="s">
        <v>1337</v>
      </c>
      <c r="F175">
        <v>0</v>
      </c>
      <c r="G175" t="s">
        <v>9178</v>
      </c>
      <c r="H175" t="s">
        <v>1342</v>
      </c>
      <c r="K175" t="s">
        <v>221</v>
      </c>
      <c r="M175" t="str">
        <f>"00904392"</f>
        <v>00904392</v>
      </c>
      <c r="N175" s="2" t="str">
        <f>"20060101"</f>
        <v>20060101</v>
      </c>
      <c r="O175">
        <v>34</v>
      </c>
      <c r="P175">
        <v>1</v>
      </c>
      <c r="Q175">
        <v>75</v>
      </c>
      <c r="R175">
        <v>13</v>
      </c>
      <c r="S175" t="s">
        <v>1339</v>
      </c>
      <c r="T175" t="s">
        <v>1340</v>
      </c>
      <c r="U175" t="s">
        <v>224</v>
      </c>
      <c r="V175" t="s">
        <v>1341</v>
      </c>
      <c r="X175" t="s">
        <v>1343</v>
      </c>
      <c r="Y175" t="b">
        <f t="shared" si="2"/>
        <v>0</v>
      </c>
    </row>
    <row r="176" spans="1:25" hidden="1">
      <c r="A176" s="11" t="s">
        <v>9939</v>
      </c>
      <c r="B176" t="s">
        <v>16</v>
      </c>
      <c r="C176" s="2" t="s">
        <v>8339</v>
      </c>
      <c r="D176" t="s">
        <v>1345</v>
      </c>
      <c r="E176" t="s">
        <v>1344</v>
      </c>
      <c r="H176" t="s">
        <v>1351</v>
      </c>
      <c r="K176" t="s">
        <v>1346</v>
      </c>
      <c r="M176" t="str">
        <f>"00109452"</f>
        <v>00109452</v>
      </c>
      <c r="N176" s="2" t="str">
        <f>"20150501"</f>
        <v>20150501</v>
      </c>
      <c r="O176">
        <v>66</v>
      </c>
      <c r="Q176">
        <v>141</v>
      </c>
      <c r="R176">
        <v>5</v>
      </c>
      <c r="S176" t="s">
        <v>1347</v>
      </c>
      <c r="T176" t="s">
        <v>1348</v>
      </c>
      <c r="U176" t="s">
        <v>1349</v>
      </c>
      <c r="V176" t="s">
        <v>1350</v>
      </c>
      <c r="X176" t="s">
        <v>1352</v>
      </c>
      <c r="Y176" t="b">
        <f t="shared" si="2"/>
        <v>1</v>
      </c>
    </row>
    <row r="177" spans="1:25" hidden="1">
      <c r="A177" s="11" t="s">
        <v>9939</v>
      </c>
      <c r="B177" t="s">
        <v>16</v>
      </c>
      <c r="C177" s="2" t="s">
        <v>8343</v>
      </c>
      <c r="D177" t="s">
        <v>1354</v>
      </c>
      <c r="E177" t="s">
        <v>1353</v>
      </c>
      <c r="F177">
        <v>0</v>
      </c>
      <c r="G177" t="s">
        <v>9178</v>
      </c>
      <c r="H177" t="s">
        <v>1359</v>
      </c>
      <c r="K177" t="s">
        <v>1355</v>
      </c>
      <c r="M177" t="str">
        <f>"15332640"</f>
        <v>15332640</v>
      </c>
      <c r="N177" s="2" t="str">
        <f>"20170101"</f>
        <v>20170101</v>
      </c>
      <c r="O177">
        <v>16</v>
      </c>
      <c r="P177">
        <v>1</v>
      </c>
      <c r="Q177">
        <v>3</v>
      </c>
      <c r="R177">
        <v>20</v>
      </c>
      <c r="S177" t="s">
        <v>1356</v>
      </c>
      <c r="T177" t="s">
        <v>1357</v>
      </c>
      <c r="U177" t="s">
        <v>87</v>
      </c>
      <c r="V177" t="s">
        <v>1358</v>
      </c>
      <c r="X177" t="s">
        <v>1360</v>
      </c>
      <c r="Y177" t="b">
        <f t="shared" si="2"/>
        <v>0</v>
      </c>
    </row>
    <row r="178" spans="1:25" hidden="1">
      <c r="A178" s="11" t="s">
        <v>9939</v>
      </c>
      <c r="B178" t="s">
        <v>16</v>
      </c>
      <c r="C178" s="2" t="s">
        <v>8339</v>
      </c>
      <c r="D178" t="s">
        <v>1362</v>
      </c>
      <c r="E178" t="s">
        <v>1361</v>
      </c>
      <c r="H178" t="s">
        <v>1367</v>
      </c>
      <c r="K178" t="s">
        <v>1363</v>
      </c>
      <c r="M178" t="str">
        <f>"09431853"</f>
        <v>09431853</v>
      </c>
      <c r="N178" s="2" t="str">
        <f>"20150601"</f>
        <v>20150601</v>
      </c>
      <c r="O178">
        <v>23</v>
      </c>
      <c r="P178">
        <v>3</v>
      </c>
      <c r="Q178">
        <v>157</v>
      </c>
      <c r="R178">
        <v>8</v>
      </c>
      <c r="S178" t="s">
        <v>1364</v>
      </c>
      <c r="T178" t="s">
        <v>1365</v>
      </c>
      <c r="U178" t="s">
        <v>42</v>
      </c>
      <c r="V178" t="s">
        <v>1366</v>
      </c>
      <c r="X178" t="s">
        <v>1368</v>
      </c>
      <c r="Y178" t="b">
        <f t="shared" si="2"/>
        <v>1</v>
      </c>
    </row>
    <row r="179" spans="1:25" hidden="1">
      <c r="A179" s="11" t="s">
        <v>9939</v>
      </c>
      <c r="B179" t="s">
        <v>16</v>
      </c>
      <c r="C179" s="2" t="s">
        <v>8346</v>
      </c>
      <c r="D179" t="s">
        <v>1370</v>
      </c>
      <c r="E179" t="s">
        <v>1369</v>
      </c>
      <c r="F179">
        <v>0</v>
      </c>
      <c r="G179" t="s">
        <v>9178</v>
      </c>
      <c r="H179" t="s">
        <v>1374</v>
      </c>
      <c r="K179" t="s">
        <v>40</v>
      </c>
      <c r="M179" t="str">
        <f>"15571912"</f>
        <v>15571912</v>
      </c>
      <c r="N179" s="2" t="str">
        <f>"20110801"</f>
        <v>20110801</v>
      </c>
      <c r="O179">
        <v>13</v>
      </c>
      <c r="P179">
        <v>4</v>
      </c>
      <c r="Q179">
        <v>713</v>
      </c>
      <c r="R179">
        <v>6</v>
      </c>
      <c r="S179" t="s">
        <v>1371</v>
      </c>
      <c r="T179" t="s">
        <v>1372</v>
      </c>
      <c r="U179" t="s">
        <v>42</v>
      </c>
      <c r="V179" t="s">
        <v>1373</v>
      </c>
      <c r="X179" t="s">
        <v>1375</v>
      </c>
      <c r="Y179" t="b">
        <f t="shared" si="2"/>
        <v>0</v>
      </c>
    </row>
    <row r="180" spans="1:25" hidden="1">
      <c r="A180" s="11" t="s">
        <v>9939</v>
      </c>
      <c r="B180" t="s">
        <v>16</v>
      </c>
      <c r="C180" s="2" t="s">
        <v>8338</v>
      </c>
      <c r="D180" t="s">
        <v>1377</v>
      </c>
      <c r="E180" t="s">
        <v>1376</v>
      </c>
      <c r="F180">
        <v>0</v>
      </c>
      <c r="G180" t="s">
        <v>9178</v>
      </c>
      <c r="H180" t="s">
        <v>1381</v>
      </c>
      <c r="K180" t="s">
        <v>48</v>
      </c>
      <c r="M180" t="str">
        <f>"07399863"</f>
        <v>07399863</v>
      </c>
      <c r="N180" s="2" t="str">
        <f>"20060801"</f>
        <v>20060801</v>
      </c>
      <c r="O180">
        <v>28</v>
      </c>
      <c r="P180">
        <v>3</v>
      </c>
      <c r="Q180">
        <v>425</v>
      </c>
      <c r="R180">
        <v>25</v>
      </c>
      <c r="S180" t="s">
        <v>1378</v>
      </c>
      <c r="T180" t="s">
        <v>1379</v>
      </c>
      <c r="U180" t="s">
        <v>15</v>
      </c>
      <c r="V180" t="s">
        <v>1380</v>
      </c>
      <c r="X180" t="s">
        <v>1382</v>
      </c>
      <c r="Y180" t="b">
        <f t="shared" si="2"/>
        <v>0</v>
      </c>
    </row>
    <row r="181" spans="1:25">
      <c r="A181" s="11" t="s">
        <v>9939</v>
      </c>
      <c r="B181" t="s">
        <v>16</v>
      </c>
      <c r="C181" s="2" t="s">
        <v>8340</v>
      </c>
      <c r="D181" t="s">
        <v>1384</v>
      </c>
      <c r="E181" t="s">
        <v>1383</v>
      </c>
      <c r="F181">
        <v>1</v>
      </c>
      <c r="H181" t="s">
        <v>1388</v>
      </c>
      <c r="I181">
        <v>1</v>
      </c>
      <c r="J181" t="s">
        <v>9952</v>
      </c>
      <c r="K181" t="s">
        <v>40</v>
      </c>
      <c r="M181" t="str">
        <f>"15571912"</f>
        <v>15571912</v>
      </c>
      <c r="N181" s="2" t="str">
        <f>"20180601"</f>
        <v>20180601</v>
      </c>
      <c r="O181">
        <v>20</v>
      </c>
      <c r="P181">
        <v>3</v>
      </c>
      <c r="Q181">
        <v>594</v>
      </c>
      <c r="R181">
        <v>9</v>
      </c>
      <c r="S181" t="s">
        <v>1385</v>
      </c>
      <c r="T181" t="s">
        <v>1386</v>
      </c>
      <c r="U181" t="s">
        <v>42</v>
      </c>
      <c r="V181" t="s">
        <v>1387</v>
      </c>
      <c r="X181" t="s">
        <v>1389</v>
      </c>
      <c r="Y181" t="b">
        <f t="shared" si="2"/>
        <v>0</v>
      </c>
    </row>
    <row r="182" spans="1:25">
      <c r="A182" s="11" t="s">
        <v>9939</v>
      </c>
      <c r="B182" t="s">
        <v>16</v>
      </c>
      <c r="C182" s="2" t="s">
        <v>8344</v>
      </c>
      <c r="D182" t="s">
        <v>1391</v>
      </c>
      <c r="E182" t="s">
        <v>1390</v>
      </c>
      <c r="F182">
        <v>1</v>
      </c>
      <c r="H182" t="s">
        <v>1395</v>
      </c>
      <c r="I182">
        <v>1</v>
      </c>
      <c r="K182" t="s">
        <v>347</v>
      </c>
      <c r="M182" t="str">
        <f>"00900036"</f>
        <v>00900036</v>
      </c>
      <c r="N182" s="2" t="str">
        <f>"20100501"</f>
        <v>20100501</v>
      </c>
      <c r="O182">
        <v>100</v>
      </c>
      <c r="P182">
        <v>5</v>
      </c>
      <c r="Q182">
        <v>940</v>
      </c>
      <c r="R182">
        <v>7</v>
      </c>
      <c r="S182" t="s">
        <v>1392</v>
      </c>
      <c r="T182" t="s">
        <v>1393</v>
      </c>
      <c r="U182" t="s">
        <v>350</v>
      </c>
      <c r="V182" t="s">
        <v>1394</v>
      </c>
      <c r="X182" t="s">
        <v>1396</v>
      </c>
      <c r="Y182" t="b">
        <f t="shared" si="2"/>
        <v>0</v>
      </c>
    </row>
    <row r="183" spans="1:25" hidden="1">
      <c r="A183" s="11" t="s">
        <v>9939</v>
      </c>
      <c r="B183" t="s">
        <v>16</v>
      </c>
      <c r="C183" s="2" t="s">
        <v>8353</v>
      </c>
      <c r="D183" t="s">
        <v>1398</v>
      </c>
      <c r="E183" t="s">
        <v>1397</v>
      </c>
      <c r="F183">
        <v>0</v>
      </c>
      <c r="G183" t="s">
        <v>9249</v>
      </c>
      <c r="H183" t="s">
        <v>1403</v>
      </c>
      <c r="K183" t="s">
        <v>1399</v>
      </c>
      <c r="M183" t="str">
        <f>"00224537"</f>
        <v>00224537</v>
      </c>
      <c r="N183" s="2" t="str">
        <f>"20160901"</f>
        <v>20160901</v>
      </c>
      <c r="O183">
        <v>72</v>
      </c>
      <c r="P183">
        <v>3</v>
      </c>
      <c r="Q183">
        <v>548</v>
      </c>
      <c r="R183">
        <v>18</v>
      </c>
      <c r="S183" t="s">
        <v>1400</v>
      </c>
      <c r="T183" t="s">
        <v>1401</v>
      </c>
      <c r="U183" t="s">
        <v>730</v>
      </c>
      <c r="V183" t="s">
        <v>1402</v>
      </c>
      <c r="X183" t="s">
        <v>1404</v>
      </c>
      <c r="Y183" t="b">
        <f t="shared" si="2"/>
        <v>0</v>
      </c>
    </row>
    <row r="184" spans="1:25" hidden="1">
      <c r="A184" s="11" t="s">
        <v>9939</v>
      </c>
      <c r="B184" t="s">
        <v>16</v>
      </c>
      <c r="C184" s="2" t="s">
        <v>8349</v>
      </c>
      <c r="D184" t="s">
        <v>1406</v>
      </c>
      <c r="E184" t="s">
        <v>1405</v>
      </c>
      <c r="H184" t="s">
        <v>1410</v>
      </c>
      <c r="K184" t="s">
        <v>132</v>
      </c>
      <c r="M184" t="str">
        <f>"01471767"</f>
        <v>01471767</v>
      </c>
      <c r="N184" s="2" t="str">
        <f>"20190101"</f>
        <v>20190101</v>
      </c>
      <c r="O184">
        <v>68</v>
      </c>
      <c r="Q184">
        <v>44</v>
      </c>
      <c r="R184">
        <v>11</v>
      </c>
      <c r="S184" t="s">
        <v>1407</v>
      </c>
      <c r="T184" t="s">
        <v>1408</v>
      </c>
      <c r="U184" t="s">
        <v>34</v>
      </c>
      <c r="V184" t="s">
        <v>1409</v>
      </c>
      <c r="X184" t="s">
        <v>1411</v>
      </c>
      <c r="Y184" t="b">
        <f t="shared" si="2"/>
        <v>1</v>
      </c>
    </row>
    <row r="185" spans="1:25" hidden="1">
      <c r="A185" s="11" t="s">
        <v>9939</v>
      </c>
      <c r="B185" t="s">
        <v>16</v>
      </c>
      <c r="C185" s="2" t="s">
        <v>8336</v>
      </c>
      <c r="D185" t="s">
        <v>1413</v>
      </c>
      <c r="E185" t="s">
        <v>1412</v>
      </c>
      <c r="H185" t="s">
        <v>1418</v>
      </c>
      <c r="K185" t="s">
        <v>1414</v>
      </c>
      <c r="M185" t="str">
        <f>"13557858"</f>
        <v>13557858</v>
      </c>
      <c r="N185" s="2" t="str">
        <f>"20070101"</f>
        <v>20070101</v>
      </c>
      <c r="O185">
        <v>12</v>
      </c>
      <c r="P185">
        <v>1</v>
      </c>
      <c r="Q185">
        <v>43</v>
      </c>
      <c r="R185">
        <v>25</v>
      </c>
      <c r="S185" t="s">
        <v>1415</v>
      </c>
      <c r="T185" t="s">
        <v>1416</v>
      </c>
      <c r="U185" t="s">
        <v>87</v>
      </c>
      <c r="V185" t="s">
        <v>1417</v>
      </c>
      <c r="X185" t="s">
        <v>1419</v>
      </c>
      <c r="Y185" t="b">
        <f t="shared" si="2"/>
        <v>1</v>
      </c>
    </row>
    <row r="186" spans="1:25">
      <c r="A186" s="11" t="s">
        <v>9939</v>
      </c>
      <c r="B186" t="s">
        <v>16</v>
      </c>
      <c r="C186" s="2" t="s">
        <v>8348</v>
      </c>
      <c r="D186" t="s">
        <v>1421</v>
      </c>
      <c r="E186" t="s">
        <v>1420</v>
      </c>
      <c r="F186">
        <v>1</v>
      </c>
      <c r="H186" t="s">
        <v>1426</v>
      </c>
      <c r="I186">
        <v>1</v>
      </c>
      <c r="K186" t="s">
        <v>1422</v>
      </c>
      <c r="M186" t="str">
        <f>"15213668"</f>
        <v>15213668</v>
      </c>
      <c r="N186" s="2" t="str">
        <f>"20050301"</f>
        <v>20050301</v>
      </c>
      <c r="O186">
        <v>6</v>
      </c>
      <c r="P186">
        <v>1</v>
      </c>
      <c r="Q186">
        <v>57</v>
      </c>
      <c r="R186">
        <v>18</v>
      </c>
      <c r="S186" t="s">
        <v>1423</v>
      </c>
      <c r="U186" t="s">
        <v>1424</v>
      </c>
      <c r="V186" t="s">
        <v>1425</v>
      </c>
      <c r="X186" t="s">
        <v>1427</v>
      </c>
      <c r="Y186" t="b">
        <f t="shared" si="2"/>
        <v>0</v>
      </c>
    </row>
    <row r="187" spans="1:25">
      <c r="A187" s="11" t="s">
        <v>9939</v>
      </c>
      <c r="B187" t="s">
        <v>69</v>
      </c>
      <c r="C187" s="2" t="s">
        <v>8353</v>
      </c>
      <c r="D187" t="s">
        <v>1429</v>
      </c>
      <c r="E187" t="s">
        <v>1428</v>
      </c>
      <c r="F187">
        <v>1</v>
      </c>
      <c r="H187" t="s">
        <v>1433</v>
      </c>
      <c r="I187">
        <v>1</v>
      </c>
      <c r="K187" t="s">
        <v>65</v>
      </c>
      <c r="L187" t="str">
        <f>"9781339229300"</f>
        <v>9781339229300</v>
      </c>
      <c r="M187" t="str">
        <f>"04194209"</f>
        <v>04194209</v>
      </c>
      <c r="N187" s="2" t="str">
        <f>"20160101"</f>
        <v>20160101</v>
      </c>
      <c r="O187">
        <v>77</v>
      </c>
      <c r="P187" t="s">
        <v>1430</v>
      </c>
      <c r="S187" t="s">
        <v>1431</v>
      </c>
      <c r="U187" t="s">
        <v>68</v>
      </c>
      <c r="V187" t="s">
        <v>1432</v>
      </c>
      <c r="X187" t="s">
        <v>1434</v>
      </c>
      <c r="Y187" t="b">
        <f t="shared" si="2"/>
        <v>0</v>
      </c>
    </row>
    <row r="188" spans="1:25">
      <c r="A188" s="11" t="s">
        <v>9939</v>
      </c>
      <c r="B188" t="s">
        <v>16</v>
      </c>
      <c r="C188" s="2" t="s">
        <v>8338</v>
      </c>
      <c r="D188" t="s">
        <v>1436</v>
      </c>
      <c r="E188" t="s">
        <v>1435</v>
      </c>
      <c r="F188">
        <v>1</v>
      </c>
      <c r="H188" t="s">
        <v>1440</v>
      </c>
      <c r="I188">
        <v>1</v>
      </c>
      <c r="K188" t="s">
        <v>132</v>
      </c>
      <c r="M188" t="str">
        <f>"01471767"</f>
        <v>01471767</v>
      </c>
      <c r="N188" s="2" t="str">
        <f>"20060501"</f>
        <v>20060501</v>
      </c>
      <c r="O188">
        <v>30</v>
      </c>
      <c r="P188">
        <v>3</v>
      </c>
      <c r="Q188">
        <v>365</v>
      </c>
      <c r="R188">
        <v>18</v>
      </c>
      <c r="S188" t="s">
        <v>1437</v>
      </c>
      <c r="T188" t="s">
        <v>1438</v>
      </c>
      <c r="U188" t="s">
        <v>34</v>
      </c>
      <c r="V188" t="s">
        <v>1439</v>
      </c>
      <c r="X188" t="s">
        <v>1441</v>
      </c>
      <c r="Y188" t="b">
        <f t="shared" si="2"/>
        <v>0</v>
      </c>
    </row>
    <row r="189" spans="1:25" hidden="1">
      <c r="A189" s="11" t="s">
        <v>9939</v>
      </c>
      <c r="B189" t="s">
        <v>69</v>
      </c>
      <c r="C189" s="2" t="s">
        <v>8346</v>
      </c>
      <c r="D189" t="s">
        <v>1443</v>
      </c>
      <c r="E189" t="s">
        <v>1442</v>
      </c>
      <c r="H189" t="s">
        <v>1446</v>
      </c>
      <c r="K189" t="s">
        <v>65</v>
      </c>
      <c r="L189" t="str">
        <f>"9781124130026"</f>
        <v>9781124130026</v>
      </c>
      <c r="M189" t="str">
        <f>"04194209"</f>
        <v>04194209</v>
      </c>
      <c r="N189" s="2" t="str">
        <f>"20110101"</f>
        <v>20110101</v>
      </c>
      <c r="O189">
        <v>71</v>
      </c>
      <c r="P189" t="s">
        <v>1096</v>
      </c>
      <c r="Q189">
        <v>2841</v>
      </c>
      <c r="R189">
        <v>1</v>
      </c>
      <c r="S189" t="s">
        <v>1444</v>
      </c>
      <c r="U189" t="s">
        <v>68</v>
      </c>
      <c r="V189" t="s">
        <v>1445</v>
      </c>
      <c r="X189" t="s">
        <v>1447</v>
      </c>
      <c r="Y189" t="b">
        <f t="shared" si="2"/>
        <v>1</v>
      </c>
    </row>
    <row r="190" spans="1:25" hidden="1">
      <c r="A190" s="11" t="s">
        <v>9939</v>
      </c>
      <c r="B190" t="s">
        <v>69</v>
      </c>
      <c r="C190" s="2" t="s">
        <v>8340</v>
      </c>
      <c r="D190" t="s">
        <v>1443</v>
      </c>
      <c r="E190" t="s">
        <v>1448</v>
      </c>
      <c r="H190" t="s">
        <v>1452</v>
      </c>
      <c r="K190" t="s">
        <v>65</v>
      </c>
      <c r="L190" t="str">
        <f>"9780355947014"</f>
        <v>9780355947014</v>
      </c>
      <c r="M190" t="str">
        <f>"04194209"</f>
        <v>04194209</v>
      </c>
      <c r="N190" s="2" t="str">
        <f>"20180101"</f>
        <v>20180101</v>
      </c>
      <c r="O190">
        <v>79</v>
      </c>
      <c r="P190" t="s">
        <v>1449</v>
      </c>
      <c r="S190" t="s">
        <v>1450</v>
      </c>
      <c r="U190" t="s">
        <v>68</v>
      </c>
      <c r="V190" t="s">
        <v>1451</v>
      </c>
      <c r="X190" t="s">
        <v>1453</v>
      </c>
      <c r="Y190" t="b">
        <f t="shared" si="2"/>
        <v>1</v>
      </c>
    </row>
    <row r="191" spans="1:25">
      <c r="A191" s="11" t="s">
        <v>9939</v>
      </c>
      <c r="B191" t="s">
        <v>16</v>
      </c>
      <c r="C191" s="2" t="s">
        <v>8336</v>
      </c>
      <c r="D191" t="s">
        <v>1455</v>
      </c>
      <c r="E191" t="s">
        <v>1454</v>
      </c>
      <c r="F191">
        <v>1</v>
      </c>
      <c r="H191" t="s">
        <v>1460</v>
      </c>
      <c r="I191">
        <v>1</v>
      </c>
      <c r="K191" t="s">
        <v>1456</v>
      </c>
      <c r="M191" t="str">
        <f>"10888691"</f>
        <v>10888691</v>
      </c>
      <c r="N191" s="2" t="str">
        <f>"20070101"</f>
        <v>20070101</v>
      </c>
      <c r="O191">
        <v>11</v>
      </c>
      <c r="P191">
        <v>3</v>
      </c>
      <c r="Q191">
        <v>137</v>
      </c>
      <c r="R191">
        <v>14</v>
      </c>
      <c r="S191" t="s">
        <v>1457</v>
      </c>
      <c r="T191" t="s">
        <v>1458</v>
      </c>
      <c r="U191" t="s">
        <v>87</v>
      </c>
      <c r="V191" t="s">
        <v>1459</v>
      </c>
      <c r="X191" t="s">
        <v>1461</v>
      </c>
      <c r="Y191" t="b">
        <f t="shared" si="2"/>
        <v>0</v>
      </c>
    </row>
    <row r="192" spans="1:25" hidden="1">
      <c r="A192" s="11" t="s">
        <v>9939</v>
      </c>
      <c r="B192" t="s">
        <v>16</v>
      </c>
      <c r="C192" s="2" t="s">
        <v>8349</v>
      </c>
      <c r="D192" t="s">
        <v>1463</v>
      </c>
      <c r="E192" t="s">
        <v>1462</v>
      </c>
      <c r="F192">
        <v>0</v>
      </c>
      <c r="G192" t="s">
        <v>9178</v>
      </c>
      <c r="H192" t="s">
        <v>1468</v>
      </c>
      <c r="K192" t="s">
        <v>1464</v>
      </c>
      <c r="M192" t="str">
        <f>"19366574"</f>
        <v>19366574</v>
      </c>
      <c r="N192" s="2" t="str">
        <f>"20191001"</f>
        <v>20191001</v>
      </c>
      <c r="O192">
        <v>12</v>
      </c>
      <c r="P192">
        <v>4</v>
      </c>
      <c r="Q192">
        <v>694</v>
      </c>
      <c r="R192">
        <v>5</v>
      </c>
      <c r="S192" t="s">
        <v>1465</v>
      </c>
      <c r="T192" t="s">
        <v>1466</v>
      </c>
      <c r="U192" t="s">
        <v>34</v>
      </c>
      <c r="V192" t="s">
        <v>1467</v>
      </c>
      <c r="X192" t="s">
        <v>1469</v>
      </c>
      <c r="Y192" t="b">
        <f t="shared" si="2"/>
        <v>0</v>
      </c>
    </row>
    <row r="193" spans="1:25">
      <c r="A193" s="11" t="s">
        <v>9939</v>
      </c>
      <c r="B193" t="s">
        <v>16</v>
      </c>
      <c r="C193" s="2" t="s">
        <v>8339</v>
      </c>
      <c r="D193" t="s">
        <v>1471</v>
      </c>
      <c r="E193" t="s">
        <v>1470</v>
      </c>
      <c r="F193">
        <v>1</v>
      </c>
      <c r="H193" t="s">
        <v>1476</v>
      </c>
      <c r="I193">
        <v>1</v>
      </c>
      <c r="K193" t="s">
        <v>1472</v>
      </c>
      <c r="M193" t="str">
        <f>"07380151"</f>
        <v>07380151</v>
      </c>
      <c r="N193" s="2" t="str">
        <f>"20150801"</f>
        <v>20150801</v>
      </c>
      <c r="O193">
        <v>32</v>
      </c>
      <c r="P193">
        <v>4</v>
      </c>
      <c r="Q193">
        <v>383</v>
      </c>
      <c r="R193">
        <v>11</v>
      </c>
      <c r="S193" t="s">
        <v>1473</v>
      </c>
      <c r="T193" t="s">
        <v>1474</v>
      </c>
      <c r="U193" t="s">
        <v>42</v>
      </c>
      <c r="V193" t="s">
        <v>1475</v>
      </c>
      <c r="X193" t="s">
        <v>1477</v>
      </c>
      <c r="Y193" t="b">
        <f t="shared" si="2"/>
        <v>0</v>
      </c>
    </row>
    <row r="194" spans="1:25">
      <c r="A194" s="11" t="s">
        <v>9939</v>
      </c>
      <c r="B194" t="s">
        <v>16</v>
      </c>
      <c r="C194" s="2" t="s">
        <v>8341</v>
      </c>
      <c r="D194" t="s">
        <v>1479</v>
      </c>
      <c r="E194" t="s">
        <v>1478</v>
      </c>
      <c r="F194">
        <v>1</v>
      </c>
      <c r="H194" t="s">
        <v>1484</v>
      </c>
      <c r="I194">
        <v>1</v>
      </c>
      <c r="K194" t="s">
        <v>802</v>
      </c>
      <c r="M194" t="str">
        <f>"00224545"</f>
        <v>00224545</v>
      </c>
      <c r="N194" s="2" t="str">
        <f>"20090801"</f>
        <v>20090801</v>
      </c>
      <c r="O194">
        <v>149</v>
      </c>
      <c r="P194">
        <v>4</v>
      </c>
      <c r="Q194">
        <v>450</v>
      </c>
      <c r="R194">
        <v>24</v>
      </c>
      <c r="S194" t="s">
        <v>1480</v>
      </c>
      <c r="T194" t="s">
        <v>1481</v>
      </c>
      <c r="U194" t="s">
        <v>1482</v>
      </c>
      <c r="V194" t="s">
        <v>1483</v>
      </c>
      <c r="X194" t="s">
        <v>1485</v>
      </c>
      <c r="Y194" t="b">
        <f t="shared" ref="Y194:Y257" si="3">COUNTIF(X:X, X194)&gt;1</f>
        <v>0</v>
      </c>
    </row>
    <row r="195" spans="1:25">
      <c r="A195" s="11" t="s">
        <v>9939</v>
      </c>
      <c r="B195" t="s">
        <v>16</v>
      </c>
      <c r="C195" s="2" t="s">
        <v>8334</v>
      </c>
      <c r="D195" t="s">
        <v>1487</v>
      </c>
      <c r="E195" t="s">
        <v>1486</v>
      </c>
      <c r="F195">
        <v>1</v>
      </c>
      <c r="H195" t="s">
        <v>1493</v>
      </c>
      <c r="I195">
        <v>1</v>
      </c>
      <c r="K195" t="s">
        <v>1488</v>
      </c>
      <c r="M195" t="str">
        <f>"00315125"</f>
        <v>00315125</v>
      </c>
      <c r="N195" s="2" t="str">
        <f>"20141201"</f>
        <v>20141201</v>
      </c>
      <c r="O195">
        <v>119</v>
      </c>
      <c r="P195">
        <v>3</v>
      </c>
      <c r="Q195">
        <v>698</v>
      </c>
      <c r="R195">
        <v>19</v>
      </c>
      <c r="S195" t="s">
        <v>1489</v>
      </c>
      <c r="T195" t="s">
        <v>1490</v>
      </c>
      <c r="U195" t="s">
        <v>1491</v>
      </c>
      <c r="V195" t="s">
        <v>1492</v>
      </c>
      <c r="X195" t="s">
        <v>1494</v>
      </c>
      <c r="Y195" t="b">
        <f t="shared" si="3"/>
        <v>0</v>
      </c>
    </row>
    <row r="196" spans="1:25">
      <c r="A196" s="11" t="s">
        <v>9939</v>
      </c>
      <c r="B196" t="s">
        <v>16</v>
      </c>
      <c r="C196" s="2" t="s">
        <v>8339</v>
      </c>
      <c r="D196" t="s">
        <v>1496</v>
      </c>
      <c r="E196" t="s">
        <v>1495</v>
      </c>
      <c r="F196">
        <v>1</v>
      </c>
      <c r="H196" t="s">
        <v>1500</v>
      </c>
      <c r="I196">
        <v>0</v>
      </c>
      <c r="J196" t="s">
        <v>9245</v>
      </c>
      <c r="K196" t="s">
        <v>132</v>
      </c>
      <c r="M196" t="str">
        <f>"01471767"</f>
        <v>01471767</v>
      </c>
      <c r="N196" s="2" t="str">
        <f>"20151101"</f>
        <v>20151101</v>
      </c>
      <c r="O196">
        <v>49</v>
      </c>
      <c r="Q196">
        <v>68</v>
      </c>
      <c r="R196">
        <v>12</v>
      </c>
      <c r="S196" t="s">
        <v>1497</v>
      </c>
      <c r="T196" t="s">
        <v>1498</v>
      </c>
      <c r="U196" t="s">
        <v>34</v>
      </c>
      <c r="V196" t="s">
        <v>1499</v>
      </c>
      <c r="X196" t="s">
        <v>1501</v>
      </c>
      <c r="Y196" t="b">
        <f t="shared" si="3"/>
        <v>0</v>
      </c>
    </row>
    <row r="197" spans="1:25" hidden="1">
      <c r="A197" s="11" t="s">
        <v>9939</v>
      </c>
      <c r="B197" t="s">
        <v>16</v>
      </c>
      <c r="C197" s="2" t="s">
        <v>8343</v>
      </c>
      <c r="D197" t="s">
        <v>1503</v>
      </c>
      <c r="E197" t="s">
        <v>1502</v>
      </c>
      <c r="F197">
        <v>0</v>
      </c>
      <c r="G197" t="s">
        <v>9178</v>
      </c>
      <c r="H197" t="s">
        <v>1508</v>
      </c>
      <c r="K197" t="s">
        <v>1504</v>
      </c>
      <c r="M197" t="str">
        <f>"01612840"</f>
        <v>01612840</v>
      </c>
      <c r="N197" s="2" t="str">
        <f>"20170401"</f>
        <v>20170401</v>
      </c>
      <c r="O197">
        <v>38</v>
      </c>
      <c r="P197">
        <v>4</v>
      </c>
      <c r="Q197">
        <v>317</v>
      </c>
      <c r="R197">
        <v>10</v>
      </c>
      <c r="S197" t="s">
        <v>1505</v>
      </c>
      <c r="T197" t="s">
        <v>1506</v>
      </c>
      <c r="U197" t="s">
        <v>87</v>
      </c>
      <c r="V197" t="s">
        <v>1507</v>
      </c>
      <c r="X197" t="s">
        <v>1509</v>
      </c>
      <c r="Y197" t="b">
        <f t="shared" si="3"/>
        <v>0</v>
      </c>
    </row>
    <row r="198" spans="1:25">
      <c r="A198" s="11" t="s">
        <v>9939</v>
      </c>
      <c r="B198" t="s">
        <v>16</v>
      </c>
      <c r="C198" s="2" t="s">
        <v>8337</v>
      </c>
      <c r="D198" t="s">
        <v>1511</v>
      </c>
      <c r="E198" t="s">
        <v>1510</v>
      </c>
      <c r="F198">
        <v>1</v>
      </c>
      <c r="H198" t="s">
        <v>1516</v>
      </c>
      <c r="I198">
        <v>1</v>
      </c>
      <c r="K198" t="s">
        <v>1512</v>
      </c>
      <c r="M198" t="str">
        <f>"00219347"</f>
        <v>00219347</v>
      </c>
      <c r="N198" s="2" t="str">
        <f>"20130401"</f>
        <v>20130401</v>
      </c>
      <c r="O198">
        <v>44</v>
      </c>
      <c r="P198">
        <v>3</v>
      </c>
      <c r="Q198">
        <v>231</v>
      </c>
      <c r="R198">
        <v>21</v>
      </c>
      <c r="S198" t="s">
        <v>1513</v>
      </c>
      <c r="T198" t="s">
        <v>1514</v>
      </c>
      <c r="U198" t="s">
        <v>15</v>
      </c>
      <c r="V198" t="s">
        <v>1515</v>
      </c>
      <c r="X198" t="s">
        <v>1517</v>
      </c>
      <c r="Y198" t="b">
        <f t="shared" si="3"/>
        <v>0</v>
      </c>
    </row>
    <row r="199" spans="1:25" hidden="1">
      <c r="A199" s="11" t="s">
        <v>9939</v>
      </c>
      <c r="B199" t="s">
        <v>16</v>
      </c>
      <c r="C199" s="2" t="s">
        <v>8341</v>
      </c>
      <c r="D199" t="s">
        <v>1519</v>
      </c>
      <c r="E199" t="s">
        <v>1518</v>
      </c>
      <c r="F199">
        <v>0</v>
      </c>
      <c r="G199" t="s">
        <v>9178</v>
      </c>
      <c r="H199" t="s">
        <v>1523</v>
      </c>
      <c r="K199" t="s">
        <v>140</v>
      </c>
      <c r="M199" t="str">
        <f>"02779536"</f>
        <v>02779536</v>
      </c>
      <c r="N199" s="2" t="str">
        <f>"20090701"</f>
        <v>20090701</v>
      </c>
      <c r="O199">
        <v>69</v>
      </c>
      <c r="P199">
        <v>1</v>
      </c>
      <c r="Q199">
        <v>110</v>
      </c>
      <c r="R199">
        <v>11</v>
      </c>
      <c r="S199" t="s">
        <v>1520</v>
      </c>
      <c r="T199" t="s">
        <v>1521</v>
      </c>
      <c r="U199" t="s">
        <v>34</v>
      </c>
      <c r="V199" t="s">
        <v>1522</v>
      </c>
      <c r="X199" t="s">
        <v>1524</v>
      </c>
      <c r="Y199" t="b">
        <f t="shared" si="3"/>
        <v>0</v>
      </c>
    </row>
    <row r="200" spans="1:25" hidden="1">
      <c r="A200" s="11" t="s">
        <v>9939</v>
      </c>
      <c r="B200" t="s">
        <v>16</v>
      </c>
      <c r="C200" s="2" t="s">
        <v>8347</v>
      </c>
      <c r="D200" t="s">
        <v>1526</v>
      </c>
      <c r="E200" t="s">
        <v>1525</v>
      </c>
      <c r="H200" t="s">
        <v>1531</v>
      </c>
      <c r="K200" t="s">
        <v>1527</v>
      </c>
      <c r="M200" t="str">
        <f>"10497315"</f>
        <v>10497315</v>
      </c>
      <c r="N200" s="2" t="str">
        <f>"20080101"</f>
        <v>20080101</v>
      </c>
      <c r="O200">
        <v>18</v>
      </c>
      <c r="P200">
        <v>1</v>
      </c>
      <c r="Q200">
        <v>55</v>
      </c>
      <c r="R200">
        <v>11</v>
      </c>
      <c r="S200" t="s">
        <v>1528</v>
      </c>
      <c r="T200" t="s">
        <v>1529</v>
      </c>
      <c r="U200" t="s">
        <v>15</v>
      </c>
      <c r="V200" t="s">
        <v>1530</v>
      </c>
      <c r="X200" t="s">
        <v>1532</v>
      </c>
      <c r="Y200" t="b">
        <f t="shared" si="3"/>
        <v>1</v>
      </c>
    </row>
    <row r="201" spans="1:25" hidden="1">
      <c r="A201" s="11" t="s">
        <v>9939</v>
      </c>
      <c r="B201" t="s">
        <v>16</v>
      </c>
      <c r="C201" s="2" t="s">
        <v>8346</v>
      </c>
      <c r="D201" t="s">
        <v>1534</v>
      </c>
      <c r="E201" t="s">
        <v>1533</v>
      </c>
      <c r="F201">
        <v>0</v>
      </c>
      <c r="G201" t="s">
        <v>9178</v>
      </c>
      <c r="H201" t="s">
        <v>1538</v>
      </c>
      <c r="K201" t="s">
        <v>40</v>
      </c>
      <c r="M201" t="str">
        <f>"15571912"</f>
        <v>15571912</v>
      </c>
      <c r="N201" s="2" t="str">
        <f>"20110601"</f>
        <v>20110601</v>
      </c>
      <c r="O201">
        <v>13</v>
      </c>
      <c r="P201">
        <v>3</v>
      </c>
      <c r="Q201">
        <v>616</v>
      </c>
      <c r="R201">
        <v>4</v>
      </c>
      <c r="S201" t="s">
        <v>1535</v>
      </c>
      <c r="T201" t="s">
        <v>1536</v>
      </c>
      <c r="U201" t="s">
        <v>42</v>
      </c>
      <c r="V201" t="s">
        <v>1537</v>
      </c>
      <c r="X201" t="s">
        <v>1539</v>
      </c>
      <c r="Y201" t="b">
        <f t="shared" si="3"/>
        <v>0</v>
      </c>
    </row>
    <row r="202" spans="1:25" hidden="1">
      <c r="A202" s="11" t="s">
        <v>9939</v>
      </c>
      <c r="B202" t="s">
        <v>16</v>
      </c>
      <c r="C202" s="2" t="s">
        <v>8346</v>
      </c>
      <c r="D202" t="s">
        <v>1541</v>
      </c>
      <c r="E202" t="s">
        <v>1540</v>
      </c>
      <c r="H202" t="s">
        <v>1546</v>
      </c>
      <c r="K202" t="s">
        <v>1542</v>
      </c>
      <c r="M202" t="str">
        <f>"0742051X"</f>
        <v>0742051X</v>
      </c>
      <c r="N202" s="2" t="str">
        <f>"20110801"</f>
        <v>20110801</v>
      </c>
      <c r="O202">
        <v>27</v>
      </c>
      <c r="P202">
        <v>6</v>
      </c>
      <c r="Q202">
        <v>986</v>
      </c>
      <c r="R202">
        <v>11</v>
      </c>
      <c r="S202" t="s">
        <v>1543</v>
      </c>
      <c r="T202" t="s">
        <v>1544</v>
      </c>
      <c r="U202" t="s">
        <v>34</v>
      </c>
      <c r="V202" t="s">
        <v>1545</v>
      </c>
      <c r="X202" t="s">
        <v>1547</v>
      </c>
      <c r="Y202" t="b">
        <f t="shared" si="3"/>
        <v>1</v>
      </c>
    </row>
    <row r="203" spans="1:25" hidden="1">
      <c r="A203" s="11" t="s">
        <v>9939</v>
      </c>
      <c r="B203" t="s">
        <v>69</v>
      </c>
      <c r="C203" s="2" t="s">
        <v>8340</v>
      </c>
      <c r="D203" t="s">
        <v>1549</v>
      </c>
      <c r="E203" t="s">
        <v>1548</v>
      </c>
      <c r="H203" t="s">
        <v>1552</v>
      </c>
      <c r="K203" t="s">
        <v>65</v>
      </c>
      <c r="L203" t="str">
        <f>"9780355533514"</f>
        <v>9780355533514</v>
      </c>
      <c r="M203" t="str">
        <f>"04194209"</f>
        <v>04194209</v>
      </c>
      <c r="N203" s="2" t="str">
        <f>"20180101"</f>
        <v>20180101</v>
      </c>
      <c r="O203">
        <v>79</v>
      </c>
      <c r="P203" t="s">
        <v>1430</v>
      </c>
      <c r="S203" t="s">
        <v>1550</v>
      </c>
      <c r="U203" t="s">
        <v>68</v>
      </c>
      <c r="V203" t="s">
        <v>1551</v>
      </c>
      <c r="X203" t="s">
        <v>1553</v>
      </c>
      <c r="Y203" t="b">
        <f t="shared" si="3"/>
        <v>1</v>
      </c>
    </row>
    <row r="204" spans="1:25" hidden="1">
      <c r="A204" s="11" t="s">
        <v>9939</v>
      </c>
      <c r="B204" t="s">
        <v>16</v>
      </c>
      <c r="C204" s="2" t="s">
        <v>8341</v>
      </c>
      <c r="D204" t="s">
        <v>1555</v>
      </c>
      <c r="E204" t="s">
        <v>1554</v>
      </c>
      <c r="H204" t="s">
        <v>1560</v>
      </c>
      <c r="K204" t="s">
        <v>1556</v>
      </c>
      <c r="M204" t="str">
        <f>"13670050"</f>
        <v>13670050</v>
      </c>
      <c r="N204" s="2" t="str">
        <f>"20090101"</f>
        <v>20090101</v>
      </c>
      <c r="O204">
        <v>12</v>
      </c>
      <c r="P204">
        <v>1</v>
      </c>
      <c r="Q204">
        <v>47</v>
      </c>
      <c r="R204">
        <v>13</v>
      </c>
      <c r="S204" t="s">
        <v>1557</v>
      </c>
      <c r="T204" t="s">
        <v>1558</v>
      </c>
      <c r="U204" t="s">
        <v>87</v>
      </c>
      <c r="V204" t="s">
        <v>1559</v>
      </c>
      <c r="X204" t="s">
        <v>1561</v>
      </c>
      <c r="Y204" t="b">
        <f t="shared" si="3"/>
        <v>1</v>
      </c>
    </row>
    <row r="205" spans="1:25" hidden="1">
      <c r="A205" s="11" t="s">
        <v>9939</v>
      </c>
      <c r="B205" t="s">
        <v>16</v>
      </c>
      <c r="C205" s="2" t="s">
        <v>8354</v>
      </c>
      <c r="D205" t="s">
        <v>1563</v>
      </c>
      <c r="E205" t="s">
        <v>1562</v>
      </c>
      <c r="F205">
        <v>0</v>
      </c>
      <c r="G205" t="s">
        <v>9178</v>
      </c>
      <c r="H205" t="s">
        <v>1569</v>
      </c>
      <c r="K205" t="s">
        <v>1564</v>
      </c>
      <c r="M205" t="str">
        <f>"08134839"</f>
        <v>08134839</v>
      </c>
      <c r="N205" s="2" t="str">
        <f>"20020101"</f>
        <v>20020101</v>
      </c>
      <c r="O205">
        <v>19</v>
      </c>
      <c r="P205">
        <v>4</v>
      </c>
      <c r="Q205">
        <v>220</v>
      </c>
      <c r="R205">
        <v>16</v>
      </c>
      <c r="S205" t="s">
        <v>1565</v>
      </c>
      <c r="T205" t="s">
        <v>1566</v>
      </c>
      <c r="U205" t="s">
        <v>1567</v>
      </c>
      <c r="V205" t="s">
        <v>1568</v>
      </c>
      <c r="X205" t="s">
        <v>1570</v>
      </c>
      <c r="Y205" t="b">
        <f t="shared" si="3"/>
        <v>0</v>
      </c>
    </row>
    <row r="206" spans="1:25" hidden="1">
      <c r="A206" s="11" t="s">
        <v>9939</v>
      </c>
      <c r="B206" t="s">
        <v>16</v>
      </c>
      <c r="C206" s="2" t="s">
        <v>8346</v>
      </c>
      <c r="D206" t="s">
        <v>1572</v>
      </c>
      <c r="E206" t="s">
        <v>1571</v>
      </c>
      <c r="H206" t="s">
        <v>1577</v>
      </c>
      <c r="K206" t="s">
        <v>1573</v>
      </c>
      <c r="M206" t="str">
        <f>"08858195"</f>
        <v>08858195</v>
      </c>
      <c r="N206" s="2" t="str">
        <f>"20110901"</f>
        <v>20110901</v>
      </c>
      <c r="O206">
        <v>26</v>
      </c>
      <c r="P206">
        <v>3</v>
      </c>
      <c r="Q206">
        <v>478</v>
      </c>
      <c r="R206">
        <v>6</v>
      </c>
      <c r="S206" t="s">
        <v>1574</v>
      </c>
      <c r="T206" t="s">
        <v>1575</v>
      </c>
      <c r="U206" t="s">
        <v>42</v>
      </c>
      <c r="V206" t="s">
        <v>1576</v>
      </c>
      <c r="X206" t="s">
        <v>1578</v>
      </c>
      <c r="Y206" t="b">
        <f t="shared" si="3"/>
        <v>1</v>
      </c>
    </row>
    <row r="207" spans="1:25">
      <c r="A207" s="11" t="s">
        <v>9939</v>
      </c>
      <c r="B207" t="s">
        <v>16</v>
      </c>
      <c r="C207" s="2" t="s">
        <v>8337</v>
      </c>
      <c r="D207" t="s">
        <v>1580</v>
      </c>
      <c r="E207" t="s">
        <v>1579</v>
      </c>
      <c r="F207">
        <v>1</v>
      </c>
      <c r="H207" t="s">
        <v>1585</v>
      </c>
      <c r="I207">
        <v>1</v>
      </c>
      <c r="K207" t="s">
        <v>1581</v>
      </c>
      <c r="M207" t="str">
        <f>"10497323"</f>
        <v>10497323</v>
      </c>
      <c r="N207" s="2" t="str">
        <f>"20131101"</f>
        <v>20131101</v>
      </c>
      <c r="O207">
        <v>23</v>
      </c>
      <c r="P207">
        <v>11</v>
      </c>
      <c r="Q207">
        <v>1528</v>
      </c>
      <c r="R207">
        <v>13</v>
      </c>
      <c r="S207" t="s">
        <v>1582</v>
      </c>
      <c r="T207" t="s">
        <v>1583</v>
      </c>
      <c r="U207" t="s">
        <v>15</v>
      </c>
      <c r="V207" t="s">
        <v>1584</v>
      </c>
      <c r="X207" t="s">
        <v>1586</v>
      </c>
      <c r="Y207" t="b">
        <f t="shared" si="3"/>
        <v>0</v>
      </c>
    </row>
    <row r="208" spans="1:25" hidden="1">
      <c r="A208" s="11" t="s">
        <v>9939</v>
      </c>
      <c r="B208" t="s">
        <v>16</v>
      </c>
      <c r="C208" s="2" t="s">
        <v>8353</v>
      </c>
      <c r="D208" t="s">
        <v>1588</v>
      </c>
      <c r="E208" t="s">
        <v>1587</v>
      </c>
      <c r="H208" t="s">
        <v>1594</v>
      </c>
      <c r="K208" t="s">
        <v>1589</v>
      </c>
      <c r="M208" t="str">
        <f>"20746857"</f>
        <v>20746857</v>
      </c>
      <c r="N208" s="2" t="str">
        <f>"20160101"</f>
        <v>20160101</v>
      </c>
      <c r="O208">
        <v>9</v>
      </c>
      <c r="P208">
        <v>1</v>
      </c>
      <c r="Q208">
        <v>98</v>
      </c>
      <c r="R208">
        <v>14</v>
      </c>
      <c r="S208" t="s">
        <v>1590</v>
      </c>
      <c r="T208" t="s">
        <v>1591</v>
      </c>
      <c r="U208" t="s">
        <v>1592</v>
      </c>
      <c r="V208" t="s">
        <v>1593</v>
      </c>
      <c r="X208" t="s">
        <v>1595</v>
      </c>
      <c r="Y208" t="b">
        <f t="shared" si="3"/>
        <v>1</v>
      </c>
    </row>
    <row r="209" spans="1:25">
      <c r="A209" s="11" t="s">
        <v>9939</v>
      </c>
      <c r="B209" t="s">
        <v>16</v>
      </c>
      <c r="C209" s="2" t="s">
        <v>8353</v>
      </c>
      <c r="D209" t="s">
        <v>1597</v>
      </c>
      <c r="E209" t="s">
        <v>1596</v>
      </c>
      <c r="F209">
        <v>1</v>
      </c>
      <c r="H209" t="s">
        <v>1601</v>
      </c>
      <c r="I209">
        <v>1</v>
      </c>
      <c r="K209" t="s">
        <v>40</v>
      </c>
      <c r="M209" t="str">
        <f>"15571912"</f>
        <v>15571912</v>
      </c>
      <c r="N209" s="2" t="str">
        <f>"20161201"</f>
        <v>20161201</v>
      </c>
      <c r="O209">
        <v>18</v>
      </c>
      <c r="P209">
        <v>6</v>
      </c>
      <c r="Q209">
        <v>1266</v>
      </c>
      <c r="R209">
        <v>8</v>
      </c>
      <c r="S209" t="s">
        <v>1598</v>
      </c>
      <c r="T209" t="s">
        <v>1599</v>
      </c>
      <c r="U209" t="s">
        <v>42</v>
      </c>
      <c r="V209" t="s">
        <v>1600</v>
      </c>
      <c r="X209" t="s">
        <v>1602</v>
      </c>
      <c r="Y209" t="b">
        <f t="shared" si="3"/>
        <v>0</v>
      </c>
    </row>
    <row r="210" spans="1:25" hidden="1">
      <c r="A210" s="11" t="s">
        <v>9939</v>
      </c>
      <c r="B210" t="s">
        <v>16</v>
      </c>
      <c r="C210" s="2" t="s">
        <v>8346</v>
      </c>
      <c r="D210" t="s">
        <v>1604</v>
      </c>
      <c r="E210" t="s">
        <v>1603</v>
      </c>
      <c r="H210" t="s">
        <v>1608</v>
      </c>
      <c r="K210" t="s">
        <v>40</v>
      </c>
      <c r="M210" t="str">
        <f>"15571912"</f>
        <v>15571912</v>
      </c>
      <c r="N210" s="2" t="str">
        <f>"20110401"</f>
        <v>20110401</v>
      </c>
      <c r="O210">
        <v>13</v>
      </c>
      <c r="P210">
        <v>2</v>
      </c>
      <c r="Q210">
        <v>214</v>
      </c>
      <c r="R210">
        <v>10</v>
      </c>
      <c r="S210" t="s">
        <v>1605</v>
      </c>
      <c r="T210" t="s">
        <v>1606</v>
      </c>
      <c r="U210" t="s">
        <v>42</v>
      </c>
      <c r="V210" t="s">
        <v>1607</v>
      </c>
      <c r="X210" t="s">
        <v>1609</v>
      </c>
      <c r="Y210" t="b">
        <f t="shared" si="3"/>
        <v>1</v>
      </c>
    </row>
    <row r="211" spans="1:25">
      <c r="A211" s="11" t="s">
        <v>9939</v>
      </c>
      <c r="B211" t="s">
        <v>16</v>
      </c>
      <c r="C211" s="2" t="s">
        <v>8343</v>
      </c>
      <c r="D211" t="s">
        <v>1611</v>
      </c>
      <c r="E211" t="s">
        <v>1610</v>
      </c>
      <c r="F211">
        <v>1</v>
      </c>
      <c r="H211" t="s">
        <v>1616</v>
      </c>
      <c r="I211">
        <v>1</v>
      </c>
      <c r="K211" t="s">
        <v>1612</v>
      </c>
      <c r="M211" t="str">
        <f>"07334648"</f>
        <v>07334648</v>
      </c>
      <c r="N211" s="2" t="str">
        <f>"20170301"</f>
        <v>20170301</v>
      </c>
      <c r="O211">
        <v>36</v>
      </c>
      <c r="P211">
        <v>3</v>
      </c>
      <c r="Q211">
        <v>296</v>
      </c>
      <c r="R211">
        <v>24</v>
      </c>
      <c r="S211" t="s">
        <v>1613</v>
      </c>
      <c r="T211" t="s">
        <v>1614</v>
      </c>
      <c r="U211" t="s">
        <v>15</v>
      </c>
      <c r="V211" t="s">
        <v>1615</v>
      </c>
      <c r="X211" t="s">
        <v>1617</v>
      </c>
      <c r="Y211" t="b">
        <f t="shared" si="3"/>
        <v>0</v>
      </c>
    </row>
    <row r="212" spans="1:25" hidden="1">
      <c r="A212" s="11" t="s">
        <v>9939</v>
      </c>
      <c r="B212" t="s">
        <v>16</v>
      </c>
      <c r="C212" s="2" t="s">
        <v>8337</v>
      </c>
      <c r="D212" t="s">
        <v>1619</v>
      </c>
      <c r="E212" t="s">
        <v>1618</v>
      </c>
      <c r="H212" t="s">
        <v>1624</v>
      </c>
      <c r="K212" t="s">
        <v>1620</v>
      </c>
      <c r="M212" t="str">
        <f>"10621024"</f>
        <v>10621024</v>
      </c>
      <c r="N212" s="2" t="str">
        <f>"20131101"</f>
        <v>20131101</v>
      </c>
      <c r="O212">
        <v>22</v>
      </c>
      <c r="P212">
        <v>8</v>
      </c>
      <c r="Q212">
        <v>1061</v>
      </c>
      <c r="R212">
        <v>13</v>
      </c>
      <c r="S212" t="s">
        <v>1621</v>
      </c>
      <c r="T212" t="s">
        <v>1622</v>
      </c>
      <c r="U212" t="s">
        <v>42</v>
      </c>
      <c r="V212" t="s">
        <v>1623</v>
      </c>
      <c r="X212" t="s">
        <v>1625</v>
      </c>
      <c r="Y212" t="b">
        <f t="shared" si="3"/>
        <v>1</v>
      </c>
    </row>
    <row r="213" spans="1:25" hidden="1">
      <c r="A213" s="11" t="s">
        <v>9939</v>
      </c>
      <c r="B213" t="s">
        <v>16</v>
      </c>
      <c r="C213" s="2" t="s">
        <v>8349</v>
      </c>
      <c r="D213" t="s">
        <v>1627</v>
      </c>
      <c r="E213" t="s">
        <v>1626</v>
      </c>
      <c r="F213">
        <v>0</v>
      </c>
      <c r="G213" t="s">
        <v>9178</v>
      </c>
      <c r="H213" t="s">
        <v>1632</v>
      </c>
      <c r="K213" t="s">
        <v>1628</v>
      </c>
      <c r="M213" t="str">
        <f>"14616734"</f>
        <v>14616734</v>
      </c>
      <c r="N213" s="2" t="str">
        <f>"20190201"</f>
        <v>20190201</v>
      </c>
      <c r="O213">
        <v>21</v>
      </c>
      <c r="P213">
        <v>1</v>
      </c>
      <c r="Q213">
        <v>38</v>
      </c>
      <c r="R213">
        <v>19</v>
      </c>
      <c r="S213" t="s">
        <v>1629</v>
      </c>
      <c r="T213" t="s">
        <v>1630</v>
      </c>
      <c r="U213" t="s">
        <v>87</v>
      </c>
      <c r="V213" t="s">
        <v>1631</v>
      </c>
      <c r="X213" t="s">
        <v>1633</v>
      </c>
      <c r="Y213" t="b">
        <f t="shared" si="3"/>
        <v>0</v>
      </c>
    </row>
    <row r="214" spans="1:25" hidden="1">
      <c r="A214" s="11" t="s">
        <v>9939</v>
      </c>
      <c r="B214" t="s">
        <v>16</v>
      </c>
      <c r="C214" s="2" t="s">
        <v>8347</v>
      </c>
      <c r="D214" t="s">
        <v>1635</v>
      </c>
      <c r="E214" t="s">
        <v>1634</v>
      </c>
      <c r="H214" t="s">
        <v>1639</v>
      </c>
      <c r="K214" t="s">
        <v>370</v>
      </c>
      <c r="M214" t="str">
        <f>"00207594"</f>
        <v>00207594</v>
      </c>
      <c r="N214" s="2" t="str">
        <f>"20081001"</f>
        <v>20081001</v>
      </c>
      <c r="O214">
        <v>43</v>
      </c>
      <c r="P214">
        <v>5</v>
      </c>
      <c r="Q214">
        <v>919</v>
      </c>
      <c r="R214">
        <v>10</v>
      </c>
      <c r="S214" t="s">
        <v>1636</v>
      </c>
      <c r="T214" t="s">
        <v>1637</v>
      </c>
      <c r="U214" t="s">
        <v>87</v>
      </c>
      <c r="V214" t="s">
        <v>1638</v>
      </c>
      <c r="X214" t="s">
        <v>1640</v>
      </c>
      <c r="Y214" t="b">
        <f t="shared" si="3"/>
        <v>1</v>
      </c>
    </row>
    <row r="215" spans="1:25" hidden="1">
      <c r="A215" s="11" t="s">
        <v>9939</v>
      </c>
      <c r="B215" t="s">
        <v>69</v>
      </c>
      <c r="C215" s="2" t="s">
        <v>8334</v>
      </c>
      <c r="D215" t="s">
        <v>1642</v>
      </c>
      <c r="E215" t="s">
        <v>1641</v>
      </c>
      <c r="H215" t="s">
        <v>1645</v>
      </c>
      <c r="K215" t="s">
        <v>101</v>
      </c>
      <c r="L215" t="str">
        <f>"9781303319686"</f>
        <v>9781303319686</v>
      </c>
      <c r="M215" t="str">
        <f>"04194217"</f>
        <v>04194217</v>
      </c>
      <c r="N215" s="2" t="str">
        <f>"20140101"</f>
        <v>20140101</v>
      </c>
      <c r="O215">
        <v>75</v>
      </c>
      <c r="P215" t="s">
        <v>711</v>
      </c>
      <c r="S215" t="s">
        <v>1643</v>
      </c>
      <c r="U215" t="s">
        <v>68</v>
      </c>
      <c r="V215" t="s">
        <v>1644</v>
      </c>
      <c r="X215" t="s">
        <v>1646</v>
      </c>
      <c r="Y215" t="b">
        <f t="shared" si="3"/>
        <v>1</v>
      </c>
    </row>
    <row r="216" spans="1:25" hidden="1">
      <c r="A216" s="11" t="s">
        <v>9939</v>
      </c>
      <c r="B216" t="s">
        <v>16</v>
      </c>
      <c r="C216" s="2" t="s">
        <v>8353</v>
      </c>
      <c r="D216" t="s">
        <v>1648</v>
      </c>
      <c r="E216" t="s">
        <v>1647</v>
      </c>
      <c r="F216">
        <v>0</v>
      </c>
      <c r="G216" t="s">
        <v>9178</v>
      </c>
      <c r="H216" t="s">
        <v>1652</v>
      </c>
      <c r="K216" t="s">
        <v>237</v>
      </c>
      <c r="M216" t="str">
        <f>"10778012"</f>
        <v>10778012</v>
      </c>
      <c r="N216" s="2" t="str">
        <f>"20161001"</f>
        <v>20161001</v>
      </c>
      <c r="O216">
        <v>22</v>
      </c>
      <c r="P216">
        <v>11</v>
      </c>
      <c r="Q216">
        <v>1326</v>
      </c>
      <c r="R216">
        <v>17</v>
      </c>
      <c r="S216" t="s">
        <v>1649</v>
      </c>
      <c r="T216" t="s">
        <v>1650</v>
      </c>
      <c r="U216" t="s">
        <v>15</v>
      </c>
      <c r="V216" t="s">
        <v>1651</v>
      </c>
      <c r="X216" t="s">
        <v>1653</v>
      </c>
      <c r="Y216" t="b">
        <f t="shared" si="3"/>
        <v>0</v>
      </c>
    </row>
    <row r="217" spans="1:25" hidden="1">
      <c r="A217" s="11" t="s">
        <v>9939</v>
      </c>
      <c r="B217" t="s">
        <v>16</v>
      </c>
      <c r="C217" s="2" t="s">
        <v>8343</v>
      </c>
      <c r="D217" t="s">
        <v>1655</v>
      </c>
      <c r="E217" t="s">
        <v>1654</v>
      </c>
      <c r="F217">
        <v>0</v>
      </c>
      <c r="G217" t="s">
        <v>9178</v>
      </c>
      <c r="H217" t="s">
        <v>1660</v>
      </c>
      <c r="K217" t="s">
        <v>1656</v>
      </c>
      <c r="M217" t="str">
        <f>"01918869"</f>
        <v>01918869</v>
      </c>
      <c r="N217" s="2" t="str">
        <f>"20170101"</f>
        <v>20170101</v>
      </c>
      <c r="O217">
        <v>104</v>
      </c>
      <c r="Q217">
        <v>23</v>
      </c>
      <c r="R217">
        <v>6</v>
      </c>
      <c r="S217" t="s">
        <v>1657</v>
      </c>
      <c r="T217" t="s">
        <v>1658</v>
      </c>
      <c r="U217" t="s">
        <v>34</v>
      </c>
      <c r="V217" t="s">
        <v>1659</v>
      </c>
      <c r="X217" t="s">
        <v>1661</v>
      </c>
      <c r="Y217" t="b">
        <f t="shared" si="3"/>
        <v>0</v>
      </c>
    </row>
    <row r="218" spans="1:25" hidden="1">
      <c r="A218" s="11" t="s">
        <v>9939</v>
      </c>
      <c r="B218" t="s">
        <v>16</v>
      </c>
      <c r="C218" s="2" t="s">
        <v>8349</v>
      </c>
      <c r="D218" t="s">
        <v>1663</v>
      </c>
      <c r="E218" t="s">
        <v>1662</v>
      </c>
      <c r="H218" t="s">
        <v>1667</v>
      </c>
      <c r="K218" t="s">
        <v>252</v>
      </c>
      <c r="M218" t="str">
        <f>"00220221"</f>
        <v>00220221</v>
      </c>
      <c r="N218" s="2" t="str">
        <f>"20190101"</f>
        <v>20190101</v>
      </c>
      <c r="O218">
        <v>50</v>
      </c>
      <c r="P218">
        <v>1</v>
      </c>
      <c r="Q218">
        <v>80</v>
      </c>
      <c r="R218">
        <v>20</v>
      </c>
      <c r="S218" t="s">
        <v>1664</v>
      </c>
      <c r="T218" t="s">
        <v>1665</v>
      </c>
      <c r="U218" t="s">
        <v>15</v>
      </c>
      <c r="V218" t="s">
        <v>1666</v>
      </c>
      <c r="X218" t="s">
        <v>1668</v>
      </c>
      <c r="Y218" t="b">
        <f t="shared" si="3"/>
        <v>1</v>
      </c>
    </row>
    <row r="219" spans="1:25" hidden="1">
      <c r="A219" s="11" t="s">
        <v>9939</v>
      </c>
      <c r="B219" t="s">
        <v>16</v>
      </c>
      <c r="C219" s="2" t="s">
        <v>8342</v>
      </c>
      <c r="D219" t="s">
        <v>1670</v>
      </c>
      <c r="E219" t="s">
        <v>1669</v>
      </c>
      <c r="H219" t="s">
        <v>1674</v>
      </c>
      <c r="K219" t="s">
        <v>132</v>
      </c>
      <c r="M219" t="str">
        <f>"01471767"</f>
        <v>01471767</v>
      </c>
      <c r="N219" s="2" t="str">
        <f>"20120701"</f>
        <v>20120701</v>
      </c>
      <c r="O219">
        <v>36</v>
      </c>
      <c r="P219">
        <v>4</v>
      </c>
      <c r="Q219">
        <v>472</v>
      </c>
      <c r="R219">
        <v>14</v>
      </c>
      <c r="S219" t="s">
        <v>1671</v>
      </c>
      <c r="T219" t="s">
        <v>1672</v>
      </c>
      <c r="U219" t="s">
        <v>34</v>
      </c>
      <c r="V219" t="s">
        <v>1673</v>
      </c>
      <c r="X219" t="s">
        <v>1675</v>
      </c>
      <c r="Y219" t="b">
        <f t="shared" si="3"/>
        <v>1</v>
      </c>
    </row>
    <row r="220" spans="1:25" hidden="1">
      <c r="A220" s="11" t="s">
        <v>9939</v>
      </c>
      <c r="B220" t="s">
        <v>16</v>
      </c>
      <c r="C220" s="2" t="s">
        <v>8336</v>
      </c>
      <c r="D220" t="s">
        <v>1677</v>
      </c>
      <c r="E220" t="s">
        <v>1676</v>
      </c>
      <c r="F220">
        <v>0</v>
      </c>
      <c r="G220" t="s">
        <v>9249</v>
      </c>
      <c r="H220" t="s">
        <v>1683</v>
      </c>
      <c r="K220" t="s">
        <v>1678</v>
      </c>
      <c r="M220" t="str">
        <f>"00221465"</f>
        <v>00221465</v>
      </c>
      <c r="N220" s="2" t="str">
        <f>"20070901"</f>
        <v>20070901</v>
      </c>
      <c r="O220">
        <v>48</v>
      </c>
      <c r="P220">
        <v>3</v>
      </c>
      <c r="Q220">
        <v>283</v>
      </c>
      <c r="R220">
        <v>18</v>
      </c>
      <c r="S220" t="s">
        <v>1679</v>
      </c>
      <c r="T220" t="s">
        <v>1680</v>
      </c>
      <c r="U220" t="s">
        <v>1681</v>
      </c>
      <c r="V220" t="s">
        <v>1682</v>
      </c>
      <c r="X220" t="s">
        <v>1684</v>
      </c>
      <c r="Y220" t="b">
        <f t="shared" si="3"/>
        <v>0</v>
      </c>
    </row>
    <row r="221" spans="1:25" hidden="1">
      <c r="A221" s="11" t="s">
        <v>9939</v>
      </c>
      <c r="B221" t="s">
        <v>16</v>
      </c>
      <c r="C221" s="2" t="s">
        <v>8337</v>
      </c>
      <c r="D221" t="s">
        <v>1686</v>
      </c>
      <c r="E221" t="s">
        <v>1685</v>
      </c>
      <c r="F221">
        <v>0</v>
      </c>
      <c r="G221" t="s">
        <v>9178</v>
      </c>
      <c r="H221" t="s">
        <v>1690</v>
      </c>
      <c r="K221" t="s">
        <v>155</v>
      </c>
      <c r="M221" t="str">
        <f>"00910562"</f>
        <v>00910562</v>
      </c>
      <c r="N221" s="2" t="str">
        <f>"20130301"</f>
        <v>20130301</v>
      </c>
      <c r="O221">
        <v>51</v>
      </c>
      <c r="P221" s="1">
        <v>44228</v>
      </c>
      <c r="Q221" s="1">
        <v>164</v>
      </c>
      <c r="R221">
        <v>11</v>
      </c>
      <c r="S221" t="s">
        <v>1687</v>
      </c>
      <c r="T221" t="s">
        <v>1688</v>
      </c>
      <c r="U221" t="s">
        <v>42</v>
      </c>
      <c r="V221" t="s">
        <v>1689</v>
      </c>
      <c r="X221" t="s">
        <v>1691</v>
      </c>
      <c r="Y221" t="b">
        <f t="shared" si="3"/>
        <v>0</v>
      </c>
    </row>
    <row r="222" spans="1:25" hidden="1">
      <c r="A222" s="11" t="s">
        <v>9939</v>
      </c>
      <c r="B222" t="s">
        <v>69</v>
      </c>
      <c r="C222" s="2" t="s">
        <v>8348</v>
      </c>
      <c r="D222" t="s">
        <v>1693</v>
      </c>
      <c r="E222" t="s">
        <v>1692</v>
      </c>
      <c r="H222" t="s">
        <v>1697</v>
      </c>
      <c r="K222" t="s">
        <v>101</v>
      </c>
      <c r="M222" t="str">
        <f>"04194217"</f>
        <v>04194217</v>
      </c>
      <c r="N222" s="2" t="str">
        <f>"20050101"</f>
        <v>20050101</v>
      </c>
      <c r="O222">
        <v>66</v>
      </c>
      <c r="P222" t="s">
        <v>1694</v>
      </c>
      <c r="Q222">
        <v>618</v>
      </c>
      <c r="R222">
        <v>1</v>
      </c>
      <c r="S222" t="s">
        <v>1695</v>
      </c>
      <c r="U222" t="s">
        <v>68</v>
      </c>
      <c r="V222" t="s">
        <v>1696</v>
      </c>
      <c r="X222" t="s">
        <v>1698</v>
      </c>
      <c r="Y222" t="b">
        <f t="shared" si="3"/>
        <v>1</v>
      </c>
    </row>
    <row r="223" spans="1:25" hidden="1">
      <c r="A223" s="11" t="s">
        <v>9939</v>
      </c>
      <c r="B223" t="s">
        <v>16</v>
      </c>
      <c r="C223" s="2" t="s">
        <v>8344</v>
      </c>
      <c r="D223" t="s">
        <v>1700</v>
      </c>
      <c r="E223" t="s">
        <v>1699</v>
      </c>
      <c r="F223">
        <v>0</v>
      </c>
      <c r="G223" t="s">
        <v>9178</v>
      </c>
      <c r="H223" t="s">
        <v>1704</v>
      </c>
      <c r="K223" t="s">
        <v>40</v>
      </c>
      <c r="M223" t="str">
        <f>"15571912"</f>
        <v>15571912</v>
      </c>
      <c r="N223" s="2" t="str">
        <f>"20100601"</f>
        <v>20100601</v>
      </c>
      <c r="O223">
        <v>12</v>
      </c>
      <c r="P223">
        <v>3</v>
      </c>
      <c r="Q223">
        <v>377</v>
      </c>
      <c r="R223">
        <v>7</v>
      </c>
      <c r="S223" t="s">
        <v>1701</v>
      </c>
      <c r="T223" t="s">
        <v>1702</v>
      </c>
      <c r="U223" t="s">
        <v>42</v>
      </c>
      <c r="V223" t="s">
        <v>1703</v>
      </c>
      <c r="X223" t="s">
        <v>1705</v>
      </c>
      <c r="Y223" t="b">
        <f t="shared" si="3"/>
        <v>0</v>
      </c>
    </row>
    <row r="224" spans="1:25" hidden="1">
      <c r="A224" s="11" t="s">
        <v>9939</v>
      </c>
      <c r="B224" t="s">
        <v>16</v>
      </c>
      <c r="C224" s="2" t="s">
        <v>8337</v>
      </c>
      <c r="D224" t="s">
        <v>1707</v>
      </c>
      <c r="E224" t="s">
        <v>1706</v>
      </c>
      <c r="H224" t="s">
        <v>1711</v>
      </c>
      <c r="K224" t="s">
        <v>370</v>
      </c>
      <c r="M224" t="str">
        <f>"00207594"</f>
        <v>00207594</v>
      </c>
      <c r="N224" s="2" t="str">
        <f>"20130601"</f>
        <v>20130601</v>
      </c>
      <c r="O224">
        <v>48</v>
      </c>
      <c r="P224">
        <v>3</v>
      </c>
      <c r="Q224">
        <v>363</v>
      </c>
      <c r="R224">
        <v>11</v>
      </c>
      <c r="S224" t="s">
        <v>1708</v>
      </c>
      <c r="T224" t="s">
        <v>1709</v>
      </c>
      <c r="U224" t="s">
        <v>87</v>
      </c>
      <c r="V224" t="s">
        <v>1710</v>
      </c>
      <c r="X224" t="s">
        <v>1712</v>
      </c>
      <c r="Y224" t="b">
        <f t="shared" si="3"/>
        <v>1</v>
      </c>
    </row>
    <row r="225" spans="1:25">
      <c r="A225" s="11" t="s">
        <v>9939</v>
      </c>
      <c r="B225" t="s">
        <v>16</v>
      </c>
      <c r="C225" s="2" t="s">
        <v>8334</v>
      </c>
      <c r="D225" t="s">
        <v>1714</v>
      </c>
      <c r="E225" t="s">
        <v>1713</v>
      </c>
      <c r="F225">
        <v>1</v>
      </c>
      <c r="H225" t="s">
        <v>1718</v>
      </c>
      <c r="I225">
        <v>1</v>
      </c>
      <c r="K225" t="s">
        <v>252</v>
      </c>
      <c r="M225" t="str">
        <f>"00220221"</f>
        <v>00220221</v>
      </c>
      <c r="N225" s="2" t="str">
        <f>"20140801"</f>
        <v>20140801</v>
      </c>
      <c r="O225">
        <v>45</v>
      </c>
      <c r="P225">
        <v>7</v>
      </c>
      <c r="Q225">
        <v>1089</v>
      </c>
      <c r="R225">
        <v>21</v>
      </c>
      <c r="S225" t="s">
        <v>1715</v>
      </c>
      <c r="T225" t="s">
        <v>1716</v>
      </c>
      <c r="U225" t="s">
        <v>15</v>
      </c>
      <c r="V225" t="s">
        <v>1717</v>
      </c>
      <c r="X225" t="s">
        <v>1719</v>
      </c>
      <c r="Y225" t="b">
        <f t="shared" si="3"/>
        <v>0</v>
      </c>
    </row>
    <row r="226" spans="1:25">
      <c r="A226" s="11" t="s">
        <v>9939</v>
      </c>
      <c r="B226" t="s">
        <v>16</v>
      </c>
      <c r="C226" s="2" t="s">
        <v>8337</v>
      </c>
      <c r="D226" t="s">
        <v>1721</v>
      </c>
      <c r="E226" t="s">
        <v>1720</v>
      </c>
      <c r="F226">
        <v>1</v>
      </c>
      <c r="H226" t="s">
        <v>1725</v>
      </c>
      <c r="I226">
        <v>0</v>
      </c>
      <c r="J226" t="s">
        <v>9245</v>
      </c>
      <c r="K226" t="s">
        <v>93</v>
      </c>
      <c r="M226" t="str">
        <f>"00207640"</f>
        <v>00207640</v>
      </c>
      <c r="N226" s="2" t="str">
        <f>"20131201"</f>
        <v>20131201</v>
      </c>
      <c r="O226">
        <v>59</v>
      </c>
      <c r="P226">
        <v>8</v>
      </c>
      <c r="Q226">
        <v>745</v>
      </c>
      <c r="R226">
        <v>7</v>
      </c>
      <c r="S226" t="s">
        <v>1722</v>
      </c>
      <c r="T226" t="s">
        <v>1723</v>
      </c>
      <c r="U226" t="s">
        <v>15</v>
      </c>
      <c r="V226" t="s">
        <v>1724</v>
      </c>
      <c r="X226" t="s">
        <v>1726</v>
      </c>
      <c r="Y226" t="b">
        <f t="shared" si="3"/>
        <v>0</v>
      </c>
    </row>
    <row r="227" spans="1:25" hidden="1">
      <c r="A227" s="11" t="s">
        <v>9939</v>
      </c>
      <c r="B227" t="s">
        <v>16</v>
      </c>
      <c r="C227" s="2" t="s">
        <v>8341</v>
      </c>
      <c r="D227" t="s">
        <v>1728</v>
      </c>
      <c r="E227" t="s">
        <v>1727</v>
      </c>
      <c r="H227" t="s">
        <v>1732</v>
      </c>
      <c r="K227" t="s">
        <v>84</v>
      </c>
      <c r="M227" t="str">
        <f>"13607863"</f>
        <v>13607863</v>
      </c>
      <c r="N227" s="2" t="str">
        <f>"20090501"</f>
        <v>20090501</v>
      </c>
      <c r="O227">
        <v>13</v>
      </c>
      <c r="P227">
        <v>3</v>
      </c>
      <c r="Q227">
        <v>456</v>
      </c>
      <c r="R227">
        <v>7</v>
      </c>
      <c r="S227" t="s">
        <v>1729</v>
      </c>
      <c r="T227" t="s">
        <v>1730</v>
      </c>
      <c r="U227" t="s">
        <v>87</v>
      </c>
      <c r="V227" t="s">
        <v>1731</v>
      </c>
      <c r="X227" t="s">
        <v>1733</v>
      </c>
      <c r="Y227" t="b">
        <f t="shared" si="3"/>
        <v>1</v>
      </c>
    </row>
    <row r="228" spans="1:25" hidden="1">
      <c r="A228" s="11" t="s">
        <v>9939</v>
      </c>
      <c r="B228" t="s">
        <v>16</v>
      </c>
      <c r="C228" s="2" t="s">
        <v>8335</v>
      </c>
      <c r="D228" t="s">
        <v>1735</v>
      </c>
      <c r="E228" t="s">
        <v>1734</v>
      </c>
      <c r="H228" t="s">
        <v>1739</v>
      </c>
      <c r="K228" t="s">
        <v>1504</v>
      </c>
      <c r="M228" t="str">
        <f>"01612840"</f>
        <v>01612840</v>
      </c>
      <c r="N228" s="2" t="str">
        <f>"20041201"</f>
        <v>20041201</v>
      </c>
      <c r="O228">
        <v>25</v>
      </c>
      <c r="P228">
        <v>8</v>
      </c>
      <c r="Q228">
        <v>809</v>
      </c>
      <c r="R228">
        <v>23</v>
      </c>
      <c r="S228" t="s">
        <v>1736</v>
      </c>
      <c r="T228" t="s">
        <v>1737</v>
      </c>
      <c r="U228" t="s">
        <v>87</v>
      </c>
      <c r="V228" t="s">
        <v>1738</v>
      </c>
      <c r="X228" t="s">
        <v>1740</v>
      </c>
      <c r="Y228" t="b">
        <f t="shared" si="3"/>
        <v>1</v>
      </c>
    </row>
    <row r="229" spans="1:25">
      <c r="A229" s="11" t="s">
        <v>9939</v>
      </c>
      <c r="B229" t="s">
        <v>16</v>
      </c>
      <c r="C229" s="2" t="s">
        <v>8342</v>
      </c>
      <c r="D229" t="s">
        <v>1742</v>
      </c>
      <c r="E229" t="s">
        <v>1741</v>
      </c>
      <c r="F229">
        <v>1</v>
      </c>
      <c r="H229" t="s">
        <v>1747</v>
      </c>
      <c r="I229">
        <v>0</v>
      </c>
      <c r="J229" t="s">
        <v>9245</v>
      </c>
      <c r="K229" t="s">
        <v>1743</v>
      </c>
      <c r="M229" t="str">
        <f>"02615177"</f>
        <v>02615177</v>
      </c>
      <c r="N229" s="2" t="str">
        <f>"20120401"</f>
        <v>20120401</v>
      </c>
      <c r="O229">
        <v>33</v>
      </c>
      <c r="P229">
        <v>2</v>
      </c>
      <c r="Q229">
        <v>334</v>
      </c>
      <c r="R229">
        <v>7</v>
      </c>
      <c r="S229" t="s">
        <v>1744</v>
      </c>
      <c r="T229" t="s">
        <v>1745</v>
      </c>
      <c r="U229" t="s">
        <v>34</v>
      </c>
      <c r="V229" t="s">
        <v>1746</v>
      </c>
      <c r="X229" t="s">
        <v>1748</v>
      </c>
      <c r="Y229" t="b">
        <f t="shared" si="3"/>
        <v>0</v>
      </c>
    </row>
    <row r="230" spans="1:25" hidden="1">
      <c r="A230" s="11" t="s">
        <v>9939</v>
      </c>
      <c r="B230" t="s">
        <v>16</v>
      </c>
      <c r="C230" s="2" t="s">
        <v>8343</v>
      </c>
      <c r="D230" t="s">
        <v>1750</v>
      </c>
      <c r="E230" t="s">
        <v>1749</v>
      </c>
      <c r="F230">
        <v>0</v>
      </c>
      <c r="G230" t="s">
        <v>9178</v>
      </c>
      <c r="H230" t="s">
        <v>1755</v>
      </c>
      <c r="K230" t="s">
        <v>1751</v>
      </c>
      <c r="M230" t="str">
        <f>"10907165"</f>
        <v>10907165</v>
      </c>
      <c r="N230" s="2" t="str">
        <f>"20170301"</f>
        <v>20170301</v>
      </c>
      <c r="O230">
        <v>21</v>
      </c>
      <c r="P230">
        <v>3</v>
      </c>
      <c r="Q230">
        <v>858</v>
      </c>
      <c r="R230">
        <v>12</v>
      </c>
      <c r="S230" t="s">
        <v>1752</v>
      </c>
      <c r="T230" t="s">
        <v>1753</v>
      </c>
      <c r="U230" t="s">
        <v>42</v>
      </c>
      <c r="V230" t="s">
        <v>1754</v>
      </c>
      <c r="X230" t="s">
        <v>1756</v>
      </c>
      <c r="Y230" t="b">
        <f t="shared" si="3"/>
        <v>0</v>
      </c>
    </row>
    <row r="231" spans="1:25" hidden="1">
      <c r="A231" s="11" t="s">
        <v>9939</v>
      </c>
      <c r="B231" t="s">
        <v>16</v>
      </c>
      <c r="C231" s="2" t="s">
        <v>8343</v>
      </c>
      <c r="D231" t="s">
        <v>1758</v>
      </c>
      <c r="E231" t="s">
        <v>1757</v>
      </c>
      <c r="H231" t="s">
        <v>1762</v>
      </c>
      <c r="K231" t="s">
        <v>252</v>
      </c>
      <c r="M231" t="str">
        <f>"00220221"</f>
        <v>00220221</v>
      </c>
      <c r="N231" s="2" t="str">
        <f>"20170701"</f>
        <v>20170701</v>
      </c>
      <c r="O231">
        <v>48</v>
      </c>
      <c r="P231">
        <v>6</v>
      </c>
      <c r="Q231">
        <v>835</v>
      </c>
      <c r="R231">
        <v>19</v>
      </c>
      <c r="S231" t="s">
        <v>1759</v>
      </c>
      <c r="T231" t="s">
        <v>1760</v>
      </c>
      <c r="U231" t="s">
        <v>15</v>
      </c>
      <c r="V231" t="s">
        <v>1761</v>
      </c>
      <c r="X231" t="s">
        <v>1763</v>
      </c>
      <c r="Y231" t="b">
        <f t="shared" si="3"/>
        <v>1</v>
      </c>
    </row>
    <row r="232" spans="1:25">
      <c r="A232" s="11" t="s">
        <v>9939</v>
      </c>
      <c r="B232" t="s">
        <v>16</v>
      </c>
      <c r="C232" s="2" t="s">
        <v>8340</v>
      </c>
      <c r="D232" t="s">
        <v>1765</v>
      </c>
      <c r="E232" t="s">
        <v>1764</v>
      </c>
      <c r="F232">
        <v>1</v>
      </c>
      <c r="H232" t="s">
        <v>1770</v>
      </c>
      <c r="I232">
        <v>0</v>
      </c>
      <c r="J232" t="s">
        <v>9178</v>
      </c>
      <c r="K232" t="s">
        <v>1766</v>
      </c>
      <c r="M232" t="str">
        <f>"00935301"</f>
        <v>00935301</v>
      </c>
      <c r="N232" s="2" t="str">
        <f>"20181001"</f>
        <v>20181001</v>
      </c>
      <c r="O232">
        <v>45</v>
      </c>
      <c r="P232">
        <v>3</v>
      </c>
      <c r="Q232">
        <v>553</v>
      </c>
      <c r="R232">
        <v>18</v>
      </c>
      <c r="S232" t="s">
        <v>1767</v>
      </c>
      <c r="T232" t="s">
        <v>1768</v>
      </c>
      <c r="U232" t="s">
        <v>675</v>
      </c>
      <c r="V232" t="s">
        <v>1769</v>
      </c>
      <c r="X232" t="s">
        <v>1771</v>
      </c>
      <c r="Y232" t="b">
        <f t="shared" si="3"/>
        <v>0</v>
      </c>
    </row>
    <row r="233" spans="1:25">
      <c r="A233" s="11" t="s">
        <v>9939</v>
      </c>
      <c r="B233" t="s">
        <v>16</v>
      </c>
      <c r="C233" s="2" t="s">
        <v>8334</v>
      </c>
      <c r="D233" t="s">
        <v>1773</v>
      </c>
      <c r="E233" t="s">
        <v>1772</v>
      </c>
      <c r="F233">
        <v>1</v>
      </c>
      <c r="H233" t="s">
        <v>1778</v>
      </c>
      <c r="I233">
        <v>1</v>
      </c>
      <c r="K233" t="s">
        <v>1774</v>
      </c>
      <c r="M233" t="str">
        <f>"0049089X"</f>
        <v>0049089X</v>
      </c>
      <c r="N233" s="2" t="str">
        <f>"20140501"</f>
        <v>20140501</v>
      </c>
      <c r="O233">
        <v>45</v>
      </c>
      <c r="Q233">
        <v>200</v>
      </c>
      <c r="R233">
        <v>11</v>
      </c>
      <c r="S233" t="s">
        <v>1775</v>
      </c>
      <c r="T233" t="s">
        <v>1776</v>
      </c>
      <c r="U233" t="s">
        <v>34</v>
      </c>
      <c r="V233" t="s">
        <v>1777</v>
      </c>
      <c r="X233" t="s">
        <v>1779</v>
      </c>
      <c r="Y233" t="b">
        <f t="shared" si="3"/>
        <v>0</v>
      </c>
    </row>
    <row r="234" spans="1:25">
      <c r="A234" s="11" t="s">
        <v>9939</v>
      </c>
      <c r="B234" t="s">
        <v>16</v>
      </c>
      <c r="C234" s="2" t="s">
        <v>8339</v>
      </c>
      <c r="D234" t="s">
        <v>1781</v>
      </c>
      <c r="E234" t="s">
        <v>1780</v>
      </c>
      <c r="F234">
        <v>1</v>
      </c>
      <c r="H234" t="s">
        <v>1785</v>
      </c>
      <c r="I234">
        <v>1</v>
      </c>
      <c r="K234" t="s">
        <v>1556</v>
      </c>
      <c r="M234" t="str">
        <f>"13670050"</f>
        <v>13670050</v>
      </c>
      <c r="N234" s="2" t="str">
        <f>"20150301"</f>
        <v>20150301</v>
      </c>
      <c r="O234">
        <v>18</v>
      </c>
      <c r="P234">
        <v>2</v>
      </c>
      <c r="Q234">
        <v>203</v>
      </c>
      <c r="R234">
        <v>22</v>
      </c>
      <c r="S234" t="s">
        <v>1782</v>
      </c>
      <c r="T234" t="s">
        <v>1783</v>
      </c>
      <c r="U234" t="s">
        <v>87</v>
      </c>
      <c r="V234" t="s">
        <v>1784</v>
      </c>
      <c r="X234" t="s">
        <v>1786</v>
      </c>
      <c r="Y234" t="b">
        <f t="shared" si="3"/>
        <v>0</v>
      </c>
    </row>
    <row r="235" spans="1:25">
      <c r="A235" s="11" t="s">
        <v>9939</v>
      </c>
      <c r="B235" t="s">
        <v>16</v>
      </c>
      <c r="C235" s="2" t="s">
        <v>8334</v>
      </c>
      <c r="D235" t="s">
        <v>1788</v>
      </c>
      <c r="E235" t="s">
        <v>1787</v>
      </c>
      <c r="F235">
        <v>1</v>
      </c>
      <c r="H235" t="s">
        <v>1792</v>
      </c>
      <c r="I235">
        <v>1</v>
      </c>
      <c r="J235" t="s">
        <v>9952</v>
      </c>
      <c r="K235" t="s">
        <v>1308</v>
      </c>
      <c r="M235" t="str">
        <f>"00472891"</f>
        <v>00472891</v>
      </c>
      <c r="N235" s="2" t="str">
        <f>"20141201"</f>
        <v>20141201</v>
      </c>
      <c r="O235">
        <v>43</v>
      </c>
      <c r="P235">
        <v>12</v>
      </c>
      <c r="Q235">
        <v>2054</v>
      </c>
      <c r="R235">
        <v>15</v>
      </c>
      <c r="S235" t="s">
        <v>1789</v>
      </c>
      <c r="T235" t="s">
        <v>1790</v>
      </c>
      <c r="U235" t="s">
        <v>42</v>
      </c>
      <c r="V235" t="s">
        <v>1791</v>
      </c>
      <c r="X235" t="s">
        <v>1793</v>
      </c>
      <c r="Y235" t="b">
        <f t="shared" si="3"/>
        <v>0</v>
      </c>
    </row>
    <row r="236" spans="1:25">
      <c r="A236" s="11" t="s">
        <v>9939</v>
      </c>
      <c r="B236" t="s">
        <v>16</v>
      </c>
      <c r="C236" s="2" t="s">
        <v>8337</v>
      </c>
      <c r="D236" t="s">
        <v>1795</v>
      </c>
      <c r="E236" t="s">
        <v>1794</v>
      </c>
      <c r="F236">
        <v>1</v>
      </c>
      <c r="H236" t="s">
        <v>1799</v>
      </c>
      <c r="I236">
        <v>1</v>
      </c>
      <c r="K236" t="s">
        <v>252</v>
      </c>
      <c r="M236" t="str">
        <f>"00220221"</f>
        <v>00220221</v>
      </c>
      <c r="N236" s="2" t="str">
        <f>"20130101"</f>
        <v>20130101</v>
      </c>
      <c r="O236">
        <v>44</v>
      </c>
      <c r="P236">
        <v>1</v>
      </c>
      <c r="Q236">
        <v>122</v>
      </c>
      <c r="R236">
        <v>38</v>
      </c>
      <c r="S236" t="s">
        <v>1796</v>
      </c>
      <c r="T236" t="s">
        <v>1797</v>
      </c>
      <c r="U236" t="s">
        <v>15</v>
      </c>
      <c r="V236" t="s">
        <v>1798</v>
      </c>
      <c r="X236" t="s">
        <v>1800</v>
      </c>
      <c r="Y236" t="b">
        <f t="shared" si="3"/>
        <v>0</v>
      </c>
    </row>
    <row r="237" spans="1:25">
      <c r="A237" s="11" t="s">
        <v>9939</v>
      </c>
      <c r="B237" t="s">
        <v>16</v>
      </c>
      <c r="C237" s="2" t="s">
        <v>8341</v>
      </c>
      <c r="D237" t="s">
        <v>1802</v>
      </c>
      <c r="E237" t="s">
        <v>1801</v>
      </c>
      <c r="F237">
        <v>1</v>
      </c>
      <c r="H237" t="s">
        <v>1807</v>
      </c>
      <c r="I237">
        <v>1</v>
      </c>
      <c r="K237" t="s">
        <v>1803</v>
      </c>
      <c r="M237" t="str">
        <f>"10826084"</f>
        <v>10826084</v>
      </c>
      <c r="N237" s="2" t="str">
        <f>"20090101"</f>
        <v>20090101</v>
      </c>
      <c r="O237">
        <v>44</v>
      </c>
      <c r="P237">
        <v>4</v>
      </c>
      <c r="Q237">
        <v>578</v>
      </c>
      <c r="R237">
        <v>15</v>
      </c>
      <c r="S237" t="s">
        <v>1804</v>
      </c>
      <c r="T237" t="s">
        <v>1805</v>
      </c>
      <c r="U237" t="s">
        <v>1227</v>
      </c>
      <c r="V237" t="s">
        <v>1806</v>
      </c>
      <c r="X237" t="s">
        <v>1808</v>
      </c>
      <c r="Y237" t="b">
        <f t="shared" si="3"/>
        <v>0</v>
      </c>
    </row>
    <row r="238" spans="1:25">
      <c r="A238" s="11" t="s">
        <v>9939</v>
      </c>
      <c r="B238" t="s">
        <v>16</v>
      </c>
      <c r="C238" s="2" t="s">
        <v>8344</v>
      </c>
      <c r="D238" t="s">
        <v>1810</v>
      </c>
      <c r="E238" t="s">
        <v>1809</v>
      </c>
      <c r="F238">
        <v>1</v>
      </c>
      <c r="H238" t="s">
        <v>1814</v>
      </c>
      <c r="I238">
        <v>1</v>
      </c>
      <c r="K238" t="s">
        <v>1504</v>
      </c>
      <c r="M238" t="str">
        <f>"01612840"</f>
        <v>01612840</v>
      </c>
      <c r="N238" s="2" t="str">
        <f>"20100801"</f>
        <v>20100801</v>
      </c>
      <c r="O238">
        <v>31</v>
      </c>
      <c r="P238">
        <v>9</v>
      </c>
      <c r="Q238">
        <v>576</v>
      </c>
      <c r="R238">
        <v>8</v>
      </c>
      <c r="S238" t="s">
        <v>1811</v>
      </c>
      <c r="T238" t="s">
        <v>1812</v>
      </c>
      <c r="U238" t="s">
        <v>1227</v>
      </c>
      <c r="V238" t="s">
        <v>1813</v>
      </c>
      <c r="X238" t="s">
        <v>1815</v>
      </c>
      <c r="Y238" t="b">
        <f t="shared" si="3"/>
        <v>0</v>
      </c>
    </row>
    <row r="239" spans="1:25">
      <c r="A239" s="11" t="s">
        <v>9939</v>
      </c>
      <c r="B239" t="s">
        <v>16</v>
      </c>
      <c r="C239" s="2" t="s">
        <v>8349</v>
      </c>
      <c r="D239" t="s">
        <v>1817</v>
      </c>
      <c r="E239" t="s">
        <v>1816</v>
      </c>
      <c r="F239">
        <v>1</v>
      </c>
      <c r="H239" t="s">
        <v>1821</v>
      </c>
      <c r="I239">
        <v>1</v>
      </c>
      <c r="K239" t="s">
        <v>40</v>
      </c>
      <c r="M239" t="str">
        <f>"15571912"</f>
        <v>15571912</v>
      </c>
      <c r="N239" s="2" t="str">
        <f>"20190615"</f>
        <v>20190615</v>
      </c>
      <c r="O239">
        <v>21</v>
      </c>
      <c r="P239">
        <v>3</v>
      </c>
      <c r="Q239">
        <v>508</v>
      </c>
      <c r="R239">
        <v>7</v>
      </c>
      <c r="S239" t="s">
        <v>1818</v>
      </c>
      <c r="T239" t="s">
        <v>1819</v>
      </c>
      <c r="U239" t="s">
        <v>42</v>
      </c>
      <c r="V239" t="s">
        <v>1820</v>
      </c>
      <c r="X239" t="s">
        <v>1822</v>
      </c>
      <c r="Y239" t="b">
        <f t="shared" si="3"/>
        <v>0</v>
      </c>
    </row>
    <row r="240" spans="1:25" hidden="1">
      <c r="A240" s="11" t="s">
        <v>9939</v>
      </c>
      <c r="B240" t="s">
        <v>16</v>
      </c>
      <c r="C240" s="2" t="s">
        <v>8344</v>
      </c>
      <c r="D240" t="s">
        <v>1824</v>
      </c>
      <c r="E240" t="s">
        <v>1823</v>
      </c>
      <c r="F240">
        <v>0</v>
      </c>
      <c r="G240" t="s">
        <v>9178</v>
      </c>
      <c r="H240" t="s">
        <v>1829</v>
      </c>
      <c r="K240" t="s">
        <v>1825</v>
      </c>
      <c r="M240" t="str">
        <f>"01419889"</f>
        <v>01419889</v>
      </c>
      <c r="N240" s="2" t="str">
        <f>"20100301"</f>
        <v>20100301</v>
      </c>
      <c r="O240">
        <v>32</v>
      </c>
      <c r="P240">
        <v>3</v>
      </c>
      <c r="Q240">
        <v>382</v>
      </c>
      <c r="R240">
        <v>18</v>
      </c>
      <c r="S240" t="s">
        <v>1826</v>
      </c>
      <c r="T240" t="s">
        <v>1827</v>
      </c>
      <c r="U240" t="s">
        <v>730</v>
      </c>
      <c r="V240" t="s">
        <v>1828</v>
      </c>
      <c r="X240" t="s">
        <v>1830</v>
      </c>
      <c r="Y240" t="b">
        <f t="shared" si="3"/>
        <v>0</v>
      </c>
    </row>
    <row r="241" spans="1:25" hidden="1">
      <c r="A241" s="11" t="s">
        <v>9939</v>
      </c>
      <c r="B241" t="s">
        <v>16</v>
      </c>
      <c r="C241" s="2" t="s">
        <v>8342</v>
      </c>
      <c r="D241" t="s">
        <v>1832</v>
      </c>
      <c r="E241" t="s">
        <v>1831</v>
      </c>
      <c r="F241">
        <v>0</v>
      </c>
      <c r="G241" t="s">
        <v>9950</v>
      </c>
      <c r="H241" t="s">
        <v>1836</v>
      </c>
      <c r="K241" t="s">
        <v>140</v>
      </c>
      <c r="M241" t="str">
        <f>"02779536"</f>
        <v>02779536</v>
      </c>
      <c r="N241" s="2" t="str">
        <f>"20120801"</f>
        <v>20120801</v>
      </c>
      <c r="O241">
        <v>75</v>
      </c>
      <c r="P241">
        <v>3</v>
      </c>
      <c r="Q241">
        <v>459</v>
      </c>
      <c r="R241">
        <v>10</v>
      </c>
      <c r="S241" t="s">
        <v>1833</v>
      </c>
      <c r="T241" t="s">
        <v>1834</v>
      </c>
      <c r="U241" t="s">
        <v>34</v>
      </c>
      <c r="V241" t="s">
        <v>1835</v>
      </c>
      <c r="X241" t="s">
        <v>1837</v>
      </c>
      <c r="Y241" t="b">
        <f t="shared" si="3"/>
        <v>0</v>
      </c>
    </row>
    <row r="242" spans="1:25">
      <c r="A242" s="11" t="s">
        <v>9939</v>
      </c>
      <c r="B242" t="s">
        <v>16</v>
      </c>
      <c r="C242" s="2" t="s">
        <v>8345</v>
      </c>
      <c r="D242" t="s">
        <v>1839</v>
      </c>
      <c r="E242" t="s">
        <v>1838</v>
      </c>
      <c r="F242">
        <v>1</v>
      </c>
      <c r="H242" t="s">
        <v>1843</v>
      </c>
      <c r="I242">
        <v>1</v>
      </c>
      <c r="K242" t="s">
        <v>40</v>
      </c>
      <c r="M242" t="str">
        <f>"15571912"</f>
        <v>15571912</v>
      </c>
      <c r="N242" s="2" t="str">
        <f>"20200401"</f>
        <v>20200401</v>
      </c>
      <c r="O242">
        <v>22</v>
      </c>
      <c r="P242">
        <v>2</v>
      </c>
      <c r="Q242">
        <v>249</v>
      </c>
      <c r="R242">
        <v>6</v>
      </c>
      <c r="S242" t="s">
        <v>1840</v>
      </c>
      <c r="T242" t="s">
        <v>1841</v>
      </c>
      <c r="U242" t="s">
        <v>42</v>
      </c>
      <c r="V242" t="s">
        <v>1842</v>
      </c>
      <c r="X242" t="s">
        <v>1844</v>
      </c>
      <c r="Y242" t="b">
        <f t="shared" si="3"/>
        <v>0</v>
      </c>
    </row>
    <row r="243" spans="1:25">
      <c r="A243" s="11" t="s">
        <v>9939</v>
      </c>
      <c r="B243" t="s">
        <v>16</v>
      </c>
      <c r="C243" s="2" t="s">
        <v>8344</v>
      </c>
      <c r="D243" t="s">
        <v>1846</v>
      </c>
      <c r="E243" t="s">
        <v>1845</v>
      </c>
      <c r="F243">
        <v>1</v>
      </c>
      <c r="H243" t="s">
        <v>1850</v>
      </c>
      <c r="I243">
        <v>0</v>
      </c>
      <c r="J243" t="s">
        <v>9237</v>
      </c>
      <c r="K243" t="s">
        <v>268</v>
      </c>
      <c r="M243" t="str">
        <f>"17401445"</f>
        <v>17401445</v>
      </c>
      <c r="N243" s="2" t="str">
        <f>"20100101"</f>
        <v>20100101</v>
      </c>
      <c r="O243">
        <v>7</v>
      </c>
      <c r="P243">
        <v>1</v>
      </c>
      <c r="Q243">
        <v>56</v>
      </c>
      <c r="R243">
        <v>10</v>
      </c>
      <c r="S243" t="s">
        <v>1847</v>
      </c>
      <c r="T243" t="s">
        <v>1848</v>
      </c>
      <c r="U243" t="s">
        <v>34</v>
      </c>
      <c r="V243" t="s">
        <v>1849</v>
      </c>
      <c r="X243" t="s">
        <v>1851</v>
      </c>
      <c r="Y243" t="b">
        <f t="shared" si="3"/>
        <v>0</v>
      </c>
    </row>
    <row r="244" spans="1:25">
      <c r="A244" s="11" t="s">
        <v>9939</v>
      </c>
      <c r="B244" t="s">
        <v>16</v>
      </c>
      <c r="C244" s="2" t="s">
        <v>8353</v>
      </c>
      <c r="D244" t="s">
        <v>1853</v>
      </c>
      <c r="E244" t="s">
        <v>1852</v>
      </c>
      <c r="F244">
        <v>1</v>
      </c>
      <c r="H244" t="s">
        <v>1857</v>
      </c>
      <c r="I244">
        <v>0</v>
      </c>
      <c r="J244" t="s">
        <v>9178</v>
      </c>
      <c r="K244" t="s">
        <v>370</v>
      </c>
      <c r="M244" t="str">
        <f>"00207594"</f>
        <v>00207594</v>
      </c>
      <c r="N244" s="2" t="str">
        <f>"20160401"</f>
        <v>20160401</v>
      </c>
      <c r="O244">
        <v>51</v>
      </c>
      <c r="P244">
        <v>2</v>
      </c>
      <c r="Q244">
        <v>130</v>
      </c>
      <c r="R244">
        <v>9</v>
      </c>
      <c r="S244" t="s">
        <v>1854</v>
      </c>
      <c r="T244" t="s">
        <v>1855</v>
      </c>
      <c r="U244" t="s">
        <v>730</v>
      </c>
      <c r="V244" t="s">
        <v>1856</v>
      </c>
      <c r="X244" t="s">
        <v>1858</v>
      </c>
      <c r="Y244" t="b">
        <f t="shared" si="3"/>
        <v>0</v>
      </c>
    </row>
    <row r="245" spans="1:25">
      <c r="A245" s="11" t="s">
        <v>9939</v>
      </c>
      <c r="B245" t="s">
        <v>16</v>
      </c>
      <c r="C245" s="2" t="s">
        <v>8353</v>
      </c>
      <c r="D245" t="s">
        <v>1860</v>
      </c>
      <c r="E245" t="s">
        <v>1859</v>
      </c>
      <c r="F245">
        <v>1</v>
      </c>
      <c r="H245" t="s">
        <v>1864</v>
      </c>
      <c r="I245">
        <v>1</v>
      </c>
      <c r="K245" t="s">
        <v>1029</v>
      </c>
      <c r="M245" t="str">
        <f>"01401971"</f>
        <v>01401971</v>
      </c>
      <c r="N245" s="2" t="str">
        <f>"20160201"</f>
        <v>20160201</v>
      </c>
      <c r="O245">
        <v>47</v>
      </c>
      <c r="Q245">
        <v>125</v>
      </c>
      <c r="R245">
        <v>6</v>
      </c>
      <c r="S245" t="s">
        <v>1861</v>
      </c>
      <c r="T245" t="s">
        <v>1862</v>
      </c>
      <c r="U245" t="s">
        <v>34</v>
      </c>
      <c r="V245" t="s">
        <v>1863</v>
      </c>
      <c r="X245" t="s">
        <v>1865</v>
      </c>
      <c r="Y245" t="b">
        <f t="shared" si="3"/>
        <v>0</v>
      </c>
    </row>
    <row r="246" spans="1:25">
      <c r="A246" s="11" t="s">
        <v>9939</v>
      </c>
      <c r="B246" t="s">
        <v>16</v>
      </c>
      <c r="C246" s="2" t="s">
        <v>8337</v>
      </c>
      <c r="D246" t="s">
        <v>1867</v>
      </c>
      <c r="E246" t="s">
        <v>1866</v>
      </c>
      <c r="F246">
        <v>1</v>
      </c>
      <c r="H246" t="s">
        <v>1871</v>
      </c>
      <c r="I246">
        <v>0</v>
      </c>
      <c r="J246" t="s">
        <v>9237</v>
      </c>
      <c r="K246" t="s">
        <v>1656</v>
      </c>
      <c r="M246" t="str">
        <f>"01918869"</f>
        <v>01918869</v>
      </c>
      <c r="N246" s="2" t="str">
        <f>"20130401"</f>
        <v>20130401</v>
      </c>
      <c r="O246">
        <v>54</v>
      </c>
      <c r="P246">
        <v>5</v>
      </c>
      <c r="Q246">
        <v>604</v>
      </c>
      <c r="R246">
        <v>6</v>
      </c>
      <c r="S246" t="s">
        <v>1868</v>
      </c>
      <c r="T246" t="s">
        <v>1869</v>
      </c>
      <c r="U246" t="s">
        <v>34</v>
      </c>
      <c r="V246" t="s">
        <v>1870</v>
      </c>
      <c r="X246" t="s">
        <v>1872</v>
      </c>
      <c r="Y246" t="b">
        <f t="shared" si="3"/>
        <v>0</v>
      </c>
    </row>
    <row r="247" spans="1:25">
      <c r="A247" s="11" t="s">
        <v>9939</v>
      </c>
      <c r="B247" t="s">
        <v>16</v>
      </c>
      <c r="C247" s="2" t="s">
        <v>8346</v>
      </c>
      <c r="D247" t="s">
        <v>1874</v>
      </c>
      <c r="E247" t="s">
        <v>1873</v>
      </c>
      <c r="F247">
        <v>1</v>
      </c>
      <c r="H247" t="s">
        <v>1878</v>
      </c>
      <c r="I247">
        <v>0</v>
      </c>
      <c r="J247" t="s">
        <v>9249</v>
      </c>
      <c r="K247" t="s">
        <v>132</v>
      </c>
      <c r="M247" t="str">
        <f>"01471767"</f>
        <v>01471767</v>
      </c>
      <c r="N247" s="2" t="str">
        <f>"20110501"</f>
        <v>20110501</v>
      </c>
      <c r="O247">
        <v>35</v>
      </c>
      <c r="P247">
        <v>3</v>
      </c>
      <c r="Q247">
        <v>334</v>
      </c>
      <c r="R247">
        <v>12</v>
      </c>
      <c r="S247" t="s">
        <v>1875</v>
      </c>
      <c r="T247" t="s">
        <v>1876</v>
      </c>
      <c r="U247" t="s">
        <v>34</v>
      </c>
      <c r="V247" t="s">
        <v>1877</v>
      </c>
      <c r="X247" t="s">
        <v>1879</v>
      </c>
      <c r="Y247" t="b">
        <f t="shared" si="3"/>
        <v>0</v>
      </c>
    </row>
    <row r="248" spans="1:25" hidden="1">
      <c r="A248" s="11" t="s">
        <v>9939</v>
      </c>
      <c r="B248" t="s">
        <v>16</v>
      </c>
      <c r="C248" s="2" t="s">
        <v>8335</v>
      </c>
      <c r="D248" t="s">
        <v>1881</v>
      </c>
      <c r="E248" t="s">
        <v>1880</v>
      </c>
      <c r="F248">
        <v>0</v>
      </c>
      <c r="G248" t="s">
        <v>9178</v>
      </c>
      <c r="H248" t="s">
        <v>1886</v>
      </c>
      <c r="K248" t="s">
        <v>1882</v>
      </c>
      <c r="M248" t="str">
        <f>"00111287"</f>
        <v>00111287</v>
      </c>
      <c r="N248" s="2" t="str">
        <f>"20040701"</f>
        <v>20040701</v>
      </c>
      <c r="O248">
        <v>50</v>
      </c>
      <c r="P248">
        <v>3</v>
      </c>
      <c r="Q248">
        <v>372</v>
      </c>
      <c r="R248">
        <v>23</v>
      </c>
      <c r="S248" t="s">
        <v>1883</v>
      </c>
      <c r="T248" t="s">
        <v>1884</v>
      </c>
      <c r="U248" t="s">
        <v>15</v>
      </c>
      <c r="V248" t="s">
        <v>1885</v>
      </c>
      <c r="X248" t="s">
        <v>1887</v>
      </c>
      <c r="Y248" t="b">
        <f t="shared" si="3"/>
        <v>0</v>
      </c>
    </row>
    <row r="249" spans="1:25" hidden="1">
      <c r="A249" s="11" t="s">
        <v>9939</v>
      </c>
      <c r="B249" t="s">
        <v>69</v>
      </c>
      <c r="C249" s="2" t="s">
        <v>8346</v>
      </c>
      <c r="D249" t="s">
        <v>1889</v>
      </c>
      <c r="E249" t="s">
        <v>1888</v>
      </c>
      <c r="H249" t="s">
        <v>1892</v>
      </c>
      <c r="K249" t="s">
        <v>101</v>
      </c>
      <c r="L249" t="str">
        <f>"9781124294230"</f>
        <v>9781124294230</v>
      </c>
      <c r="M249" t="str">
        <f>"04194217"</f>
        <v>04194217</v>
      </c>
      <c r="N249" s="2" t="str">
        <f>"20110101"</f>
        <v>20110101</v>
      </c>
      <c r="O249">
        <v>71</v>
      </c>
      <c r="P249" t="s">
        <v>530</v>
      </c>
      <c r="Q249">
        <v>6686</v>
      </c>
      <c r="R249">
        <v>1</v>
      </c>
      <c r="S249" t="s">
        <v>1890</v>
      </c>
      <c r="U249" t="s">
        <v>68</v>
      </c>
      <c r="V249" t="s">
        <v>1891</v>
      </c>
      <c r="X249" t="s">
        <v>1893</v>
      </c>
      <c r="Y249" t="b">
        <f t="shared" si="3"/>
        <v>1</v>
      </c>
    </row>
    <row r="250" spans="1:25">
      <c r="A250" s="11" t="s">
        <v>9939</v>
      </c>
      <c r="B250" t="s">
        <v>16</v>
      </c>
      <c r="C250" s="2" t="s">
        <v>8355</v>
      </c>
      <c r="D250" t="s">
        <v>1895</v>
      </c>
      <c r="E250" t="s">
        <v>1894</v>
      </c>
      <c r="F250">
        <v>1</v>
      </c>
      <c r="H250" t="s">
        <v>1900</v>
      </c>
      <c r="I250">
        <v>0</v>
      </c>
      <c r="J250" t="s">
        <v>9178</v>
      </c>
      <c r="K250" t="s">
        <v>1896</v>
      </c>
      <c r="M250" t="str">
        <f>"03092402"</f>
        <v>03092402</v>
      </c>
      <c r="N250" s="2" t="str">
        <f>"19950701"</f>
        <v>19950701</v>
      </c>
      <c r="O250">
        <v>22</v>
      </c>
      <c r="P250">
        <v>1</v>
      </c>
      <c r="Q250">
        <v>150</v>
      </c>
      <c r="R250">
        <v>8</v>
      </c>
      <c r="S250" t="s">
        <v>1897</v>
      </c>
      <c r="T250" t="s">
        <v>1898</v>
      </c>
      <c r="U250" t="s">
        <v>464</v>
      </c>
      <c r="V250" t="s">
        <v>1899</v>
      </c>
      <c r="X250" t="s">
        <v>1901</v>
      </c>
      <c r="Y250" t="b">
        <f t="shared" si="3"/>
        <v>0</v>
      </c>
    </row>
    <row r="251" spans="1:25" hidden="1">
      <c r="A251" s="11" t="s">
        <v>9939</v>
      </c>
      <c r="B251" t="s">
        <v>16</v>
      </c>
      <c r="C251" s="2" t="s">
        <v>8345</v>
      </c>
      <c r="D251" t="s">
        <v>1903</v>
      </c>
      <c r="E251" t="s">
        <v>1902</v>
      </c>
      <c r="H251" t="s">
        <v>1907</v>
      </c>
      <c r="K251" t="s">
        <v>970</v>
      </c>
      <c r="M251" t="str">
        <f>"10999809"</f>
        <v>10999809</v>
      </c>
      <c r="N251" s="2" t="str">
        <f>"20200701"</f>
        <v>20200701</v>
      </c>
      <c r="O251">
        <v>26</v>
      </c>
      <c r="P251">
        <v>3</v>
      </c>
      <c r="Q251">
        <v>347</v>
      </c>
      <c r="R251">
        <v>9</v>
      </c>
      <c r="S251" t="s">
        <v>1904</v>
      </c>
      <c r="T251" t="s">
        <v>1905</v>
      </c>
      <c r="U251" t="s">
        <v>183</v>
      </c>
      <c r="V251" t="s">
        <v>1906</v>
      </c>
      <c r="X251" t="s">
        <v>1908</v>
      </c>
      <c r="Y251" t="b">
        <f t="shared" si="3"/>
        <v>1</v>
      </c>
    </row>
    <row r="252" spans="1:25" hidden="1">
      <c r="A252" s="11" t="s">
        <v>9939</v>
      </c>
      <c r="B252" t="s">
        <v>16</v>
      </c>
      <c r="C252" s="2" t="s">
        <v>8346</v>
      </c>
      <c r="D252" t="s">
        <v>1910</v>
      </c>
      <c r="E252" t="s">
        <v>1909</v>
      </c>
      <c r="F252">
        <v>0</v>
      </c>
      <c r="G252" t="s">
        <v>9178</v>
      </c>
      <c r="H252" t="s">
        <v>1915</v>
      </c>
      <c r="K252" t="s">
        <v>1911</v>
      </c>
      <c r="M252" t="str">
        <f>"10810730"</f>
        <v>10810730</v>
      </c>
      <c r="N252" s="2" t="str">
        <f>"20110101"</f>
        <v>20110101</v>
      </c>
      <c r="O252">
        <v>16</v>
      </c>
      <c r="P252">
        <v>1</v>
      </c>
      <c r="Q252">
        <v>17</v>
      </c>
      <c r="R252">
        <v>17</v>
      </c>
      <c r="S252" t="s">
        <v>1912</v>
      </c>
      <c r="T252" t="s">
        <v>1913</v>
      </c>
      <c r="U252" t="s">
        <v>87</v>
      </c>
      <c r="V252" t="s">
        <v>1914</v>
      </c>
      <c r="X252" t="s">
        <v>1916</v>
      </c>
      <c r="Y252" t="b">
        <f t="shared" si="3"/>
        <v>0</v>
      </c>
    </row>
    <row r="253" spans="1:25" hidden="1">
      <c r="A253" s="11" t="s">
        <v>9939</v>
      </c>
      <c r="B253" t="s">
        <v>16</v>
      </c>
      <c r="C253" s="2" t="s">
        <v>8337</v>
      </c>
      <c r="D253" t="s">
        <v>1918</v>
      </c>
      <c r="E253" t="s">
        <v>1917</v>
      </c>
      <c r="F253">
        <v>0</v>
      </c>
      <c r="G253" t="s">
        <v>9178</v>
      </c>
      <c r="H253" t="s">
        <v>1922</v>
      </c>
      <c r="K253" t="s">
        <v>551</v>
      </c>
      <c r="M253" t="str">
        <f>"16641078"</f>
        <v>16641078</v>
      </c>
      <c r="N253" s="2" t="str">
        <f>"20130215"</f>
        <v>20130215</v>
      </c>
      <c r="O253">
        <v>4</v>
      </c>
      <c r="S253" t="s">
        <v>1919</v>
      </c>
      <c r="T253" t="s">
        <v>1920</v>
      </c>
      <c r="U253" t="s">
        <v>554</v>
      </c>
      <c r="V253" t="s">
        <v>1921</v>
      </c>
      <c r="X253" t="s">
        <v>1923</v>
      </c>
      <c r="Y253" t="b">
        <f t="shared" si="3"/>
        <v>0</v>
      </c>
    </row>
    <row r="254" spans="1:25" hidden="1">
      <c r="A254" s="11" t="s">
        <v>9939</v>
      </c>
      <c r="B254" t="s">
        <v>16</v>
      </c>
      <c r="C254" s="2" t="s">
        <v>8339</v>
      </c>
      <c r="D254" t="s">
        <v>1925</v>
      </c>
      <c r="E254" t="s">
        <v>1924</v>
      </c>
      <c r="H254" t="s">
        <v>1929</v>
      </c>
      <c r="K254" t="s">
        <v>1180</v>
      </c>
      <c r="M254" t="str">
        <f>"15313204"</f>
        <v>15313204</v>
      </c>
      <c r="N254" s="2" t="str">
        <f>"20150701"</f>
        <v>20150701</v>
      </c>
      <c r="O254">
        <v>24</v>
      </c>
      <c r="P254">
        <v>3</v>
      </c>
      <c r="Q254">
        <v>219</v>
      </c>
      <c r="R254">
        <v>16</v>
      </c>
      <c r="S254" t="s">
        <v>1926</v>
      </c>
      <c r="T254" t="s">
        <v>1927</v>
      </c>
      <c r="U254" t="s">
        <v>87</v>
      </c>
      <c r="V254" t="s">
        <v>1928</v>
      </c>
      <c r="X254" t="s">
        <v>1930</v>
      </c>
      <c r="Y254" t="b">
        <f t="shared" si="3"/>
        <v>1</v>
      </c>
    </row>
    <row r="255" spans="1:25">
      <c r="A255" s="11" t="s">
        <v>9939</v>
      </c>
      <c r="B255" t="s">
        <v>16</v>
      </c>
      <c r="C255" s="2" t="s">
        <v>8341</v>
      </c>
      <c r="D255" t="s">
        <v>1932</v>
      </c>
      <c r="E255" t="s">
        <v>1931</v>
      </c>
      <c r="F255">
        <v>1</v>
      </c>
      <c r="H255" t="s">
        <v>1936</v>
      </c>
      <c r="I255">
        <v>1</v>
      </c>
      <c r="K255" t="s">
        <v>1774</v>
      </c>
      <c r="M255" t="str">
        <f>"0049089X"</f>
        <v>0049089X</v>
      </c>
      <c r="N255" s="2" t="str">
        <f>"20091201"</f>
        <v>20091201</v>
      </c>
      <c r="O255">
        <v>38</v>
      </c>
      <c r="P255">
        <v>4</v>
      </c>
      <c r="Q255">
        <v>870</v>
      </c>
      <c r="R255">
        <v>13</v>
      </c>
      <c r="S255" t="s">
        <v>1933</v>
      </c>
      <c r="T255" t="s">
        <v>1934</v>
      </c>
      <c r="U255" t="s">
        <v>34</v>
      </c>
      <c r="V255" t="s">
        <v>1935</v>
      </c>
      <c r="X255" t="s">
        <v>1937</v>
      </c>
      <c r="Y255" t="b">
        <f t="shared" si="3"/>
        <v>0</v>
      </c>
    </row>
    <row r="256" spans="1:25">
      <c r="A256" s="11" t="s">
        <v>9939</v>
      </c>
      <c r="B256" t="s">
        <v>16</v>
      </c>
      <c r="C256" s="2" t="s">
        <v>8346</v>
      </c>
      <c r="D256" t="s">
        <v>1939</v>
      </c>
      <c r="E256" t="s">
        <v>1938</v>
      </c>
      <c r="F256">
        <v>1</v>
      </c>
      <c r="H256" t="s">
        <v>1943</v>
      </c>
      <c r="I256">
        <v>0</v>
      </c>
      <c r="J256" t="s">
        <v>9249</v>
      </c>
      <c r="K256" t="s">
        <v>132</v>
      </c>
      <c r="M256" t="str">
        <f>"01471767"</f>
        <v>01471767</v>
      </c>
      <c r="N256" s="2" t="str">
        <f>"20110901"</f>
        <v>20110901</v>
      </c>
      <c r="O256">
        <v>35</v>
      </c>
      <c r="P256">
        <v>5</v>
      </c>
      <c r="Q256">
        <v>580</v>
      </c>
      <c r="R256">
        <v>12</v>
      </c>
      <c r="S256" t="s">
        <v>1940</v>
      </c>
      <c r="T256" t="s">
        <v>1941</v>
      </c>
      <c r="U256" t="s">
        <v>34</v>
      </c>
      <c r="V256" t="s">
        <v>1942</v>
      </c>
      <c r="X256" t="s">
        <v>1944</v>
      </c>
      <c r="Y256" t="b">
        <f t="shared" si="3"/>
        <v>0</v>
      </c>
    </row>
    <row r="257" spans="1:25" hidden="1">
      <c r="A257" s="11" t="s">
        <v>9939</v>
      </c>
      <c r="B257" t="s">
        <v>16</v>
      </c>
      <c r="C257" s="2" t="s">
        <v>8339</v>
      </c>
      <c r="D257" t="s">
        <v>1946</v>
      </c>
      <c r="E257" t="s">
        <v>1945</v>
      </c>
      <c r="H257" t="s">
        <v>1951</v>
      </c>
      <c r="K257" t="s">
        <v>1947</v>
      </c>
      <c r="M257" t="str">
        <f>"00319384"</f>
        <v>00319384</v>
      </c>
      <c r="N257" s="2" t="str">
        <f>"20150201"</f>
        <v>20150201</v>
      </c>
      <c r="O257">
        <v>139</v>
      </c>
      <c r="Q257">
        <v>67</v>
      </c>
      <c r="R257">
        <v>6</v>
      </c>
      <c r="S257" t="s">
        <v>1948</v>
      </c>
      <c r="T257" t="s">
        <v>1949</v>
      </c>
      <c r="U257" t="s">
        <v>34</v>
      </c>
      <c r="V257" t="s">
        <v>1950</v>
      </c>
      <c r="X257" t="s">
        <v>1952</v>
      </c>
      <c r="Y257" t="b">
        <f t="shared" si="3"/>
        <v>1</v>
      </c>
    </row>
    <row r="258" spans="1:25" hidden="1">
      <c r="A258" s="11" t="s">
        <v>9939</v>
      </c>
      <c r="B258" t="s">
        <v>16</v>
      </c>
      <c r="C258" s="2" t="s">
        <v>8342</v>
      </c>
      <c r="D258" t="s">
        <v>1954</v>
      </c>
      <c r="E258" t="s">
        <v>1953</v>
      </c>
      <c r="H258" t="s">
        <v>1959</v>
      </c>
      <c r="K258" t="s">
        <v>1955</v>
      </c>
      <c r="M258" t="str">
        <f>"13691058"</f>
        <v>13691058</v>
      </c>
      <c r="N258" s="2" t="str">
        <f>"20120101"</f>
        <v>20120101</v>
      </c>
      <c r="O258">
        <v>14</v>
      </c>
      <c r="P258">
        <v>1</v>
      </c>
      <c r="Q258">
        <v>87</v>
      </c>
      <c r="R258">
        <v>14</v>
      </c>
      <c r="S258" t="s">
        <v>1956</v>
      </c>
      <c r="T258" t="s">
        <v>1957</v>
      </c>
      <c r="U258" t="s">
        <v>87</v>
      </c>
      <c r="V258" t="s">
        <v>1958</v>
      </c>
      <c r="X258" t="s">
        <v>1960</v>
      </c>
      <c r="Y258" t="b">
        <f t="shared" ref="Y258:Y321" si="4">COUNTIF(X:X, X258)&gt;1</f>
        <v>1</v>
      </c>
    </row>
    <row r="259" spans="1:25" hidden="1">
      <c r="A259" s="11" t="s">
        <v>9939</v>
      </c>
      <c r="B259" t="s">
        <v>16</v>
      </c>
      <c r="C259" s="2" t="s">
        <v>8337</v>
      </c>
      <c r="D259" t="s">
        <v>1962</v>
      </c>
      <c r="E259" t="s">
        <v>1961</v>
      </c>
      <c r="F259">
        <v>0</v>
      </c>
      <c r="G259" t="s">
        <v>9249</v>
      </c>
      <c r="H259" t="s">
        <v>1968</v>
      </c>
      <c r="K259" t="s">
        <v>1963</v>
      </c>
      <c r="M259" t="str">
        <f>"18387357"</f>
        <v>18387357</v>
      </c>
      <c r="N259" s="2" t="str">
        <f>"20130201"</f>
        <v>20130201</v>
      </c>
      <c r="O259">
        <v>11</v>
      </c>
      <c r="P259">
        <v>2</v>
      </c>
      <c r="Q259">
        <v>172</v>
      </c>
      <c r="R259">
        <v>16</v>
      </c>
      <c r="S259" t="s">
        <v>1964</v>
      </c>
      <c r="T259" t="s">
        <v>1965</v>
      </c>
      <c r="U259" t="s">
        <v>1966</v>
      </c>
      <c r="V259" t="s">
        <v>1967</v>
      </c>
      <c r="X259" t="s">
        <v>1969</v>
      </c>
      <c r="Y259" t="b">
        <f t="shared" si="4"/>
        <v>0</v>
      </c>
    </row>
    <row r="260" spans="1:25" hidden="1">
      <c r="A260" s="11" t="s">
        <v>9939</v>
      </c>
      <c r="B260" t="s">
        <v>16</v>
      </c>
      <c r="C260" s="2" t="s">
        <v>8336</v>
      </c>
      <c r="D260" t="s">
        <v>1971</v>
      </c>
      <c r="E260" t="s">
        <v>1970</v>
      </c>
      <c r="F260">
        <v>0</v>
      </c>
      <c r="G260" t="s">
        <v>9178</v>
      </c>
      <c r="H260" t="s">
        <v>1976</v>
      </c>
      <c r="K260" t="s">
        <v>1972</v>
      </c>
      <c r="M260" t="str">
        <f>"01939459"</f>
        <v>01939459</v>
      </c>
      <c r="N260" s="2" t="str">
        <f>"20071101"</f>
        <v>20071101</v>
      </c>
      <c r="O260">
        <v>29</v>
      </c>
      <c r="P260">
        <v>7</v>
      </c>
      <c r="Q260">
        <v>804</v>
      </c>
      <c r="R260">
        <v>23</v>
      </c>
      <c r="S260" t="s">
        <v>1973</v>
      </c>
      <c r="T260" t="s">
        <v>1974</v>
      </c>
      <c r="U260" t="s">
        <v>15</v>
      </c>
      <c r="V260" t="s">
        <v>1975</v>
      </c>
      <c r="X260" t="s">
        <v>1977</v>
      </c>
      <c r="Y260" t="b">
        <f t="shared" si="4"/>
        <v>0</v>
      </c>
    </row>
    <row r="261" spans="1:25">
      <c r="A261" s="11" t="s">
        <v>9939</v>
      </c>
      <c r="B261" t="s">
        <v>16</v>
      </c>
      <c r="C261" s="2" t="s">
        <v>8345</v>
      </c>
      <c r="D261" t="s">
        <v>1979</v>
      </c>
      <c r="E261" t="s">
        <v>1978</v>
      </c>
      <c r="F261">
        <v>1</v>
      </c>
      <c r="H261" t="s">
        <v>1984</v>
      </c>
      <c r="I261">
        <v>1</v>
      </c>
      <c r="K261" t="s">
        <v>1980</v>
      </c>
      <c r="M261" t="str">
        <f>"0008400X"</f>
        <v>0008400X</v>
      </c>
      <c r="N261" s="2" t="str">
        <f>"20200101"</f>
        <v>20200101</v>
      </c>
      <c r="O261">
        <v>52</v>
      </c>
      <c r="P261">
        <v>1</v>
      </c>
      <c r="Q261">
        <v>36</v>
      </c>
      <c r="R261">
        <v>12</v>
      </c>
      <c r="S261" t="s">
        <v>1981</v>
      </c>
      <c r="T261" t="s">
        <v>1982</v>
      </c>
      <c r="U261" t="s">
        <v>183</v>
      </c>
      <c r="V261" t="s">
        <v>1983</v>
      </c>
      <c r="X261" t="s">
        <v>1985</v>
      </c>
      <c r="Y261" t="b">
        <f t="shared" si="4"/>
        <v>0</v>
      </c>
    </row>
    <row r="262" spans="1:25">
      <c r="A262" s="11" t="s">
        <v>9939</v>
      </c>
      <c r="B262" t="s">
        <v>69</v>
      </c>
      <c r="C262" s="2" t="s">
        <v>8334</v>
      </c>
      <c r="D262" t="s">
        <v>1987</v>
      </c>
      <c r="E262" t="s">
        <v>1986</v>
      </c>
      <c r="F262">
        <v>1</v>
      </c>
      <c r="H262" t="s">
        <v>1991</v>
      </c>
      <c r="I262">
        <v>1</v>
      </c>
      <c r="K262" t="s">
        <v>101</v>
      </c>
      <c r="L262" t="str">
        <f>"9781303774256"</f>
        <v>9781303774256</v>
      </c>
      <c r="M262" t="str">
        <f>"04194217"</f>
        <v>04194217</v>
      </c>
      <c r="N262" s="2" t="str">
        <f>"20140101"</f>
        <v>20140101</v>
      </c>
      <c r="O262">
        <v>75</v>
      </c>
      <c r="P262" t="s">
        <v>1988</v>
      </c>
      <c r="S262" t="s">
        <v>1989</v>
      </c>
      <c r="U262" t="s">
        <v>68</v>
      </c>
      <c r="V262" t="s">
        <v>1990</v>
      </c>
      <c r="X262" t="s">
        <v>1992</v>
      </c>
      <c r="Y262" t="b">
        <f t="shared" si="4"/>
        <v>0</v>
      </c>
    </row>
    <row r="263" spans="1:25" hidden="1">
      <c r="A263" s="11" t="s">
        <v>9939</v>
      </c>
      <c r="B263" t="s">
        <v>16</v>
      </c>
      <c r="C263" s="2" t="s">
        <v>8342</v>
      </c>
      <c r="D263" t="s">
        <v>1994</v>
      </c>
      <c r="E263" t="s">
        <v>1993</v>
      </c>
      <c r="F263">
        <v>0</v>
      </c>
      <c r="G263" t="s">
        <v>9178</v>
      </c>
      <c r="H263" t="s">
        <v>1998</v>
      </c>
      <c r="K263" t="s">
        <v>893</v>
      </c>
      <c r="M263" t="str">
        <f>"00365564"</f>
        <v>00365564</v>
      </c>
      <c r="N263" s="2" t="str">
        <f>"20121201"</f>
        <v>20121201</v>
      </c>
      <c r="O263">
        <v>53</v>
      </c>
      <c r="P263">
        <v>6</v>
      </c>
      <c r="Q263">
        <v>455</v>
      </c>
      <c r="R263">
        <v>6</v>
      </c>
      <c r="S263" t="s">
        <v>1995</v>
      </c>
      <c r="T263" t="s">
        <v>1996</v>
      </c>
      <c r="U263" t="s">
        <v>730</v>
      </c>
      <c r="V263" t="s">
        <v>1997</v>
      </c>
      <c r="X263" t="s">
        <v>1999</v>
      </c>
      <c r="Y263" t="b">
        <f t="shared" si="4"/>
        <v>0</v>
      </c>
    </row>
    <row r="264" spans="1:25">
      <c r="A264" s="11" t="s">
        <v>9939</v>
      </c>
      <c r="B264" t="s">
        <v>16</v>
      </c>
      <c r="C264" s="2" t="s">
        <v>8339</v>
      </c>
      <c r="D264" t="s">
        <v>2001</v>
      </c>
      <c r="E264" t="s">
        <v>2000</v>
      </c>
      <c r="F264">
        <v>1</v>
      </c>
      <c r="H264" t="s">
        <v>2005</v>
      </c>
      <c r="I264">
        <v>0</v>
      </c>
      <c r="J264" t="s">
        <v>9237</v>
      </c>
      <c r="K264" t="s">
        <v>933</v>
      </c>
      <c r="M264" t="str">
        <f>"00103853"</f>
        <v>00103853</v>
      </c>
      <c r="N264" s="2" t="str">
        <f>"20150201"</f>
        <v>20150201</v>
      </c>
      <c r="O264">
        <v>51</v>
      </c>
      <c r="P264">
        <v>2</v>
      </c>
      <c r="Q264">
        <v>239</v>
      </c>
      <c r="R264">
        <v>10</v>
      </c>
      <c r="S264" t="s">
        <v>2002</v>
      </c>
      <c r="T264" t="s">
        <v>2003</v>
      </c>
      <c r="U264" t="s">
        <v>42</v>
      </c>
      <c r="V264" t="s">
        <v>2004</v>
      </c>
      <c r="X264" t="s">
        <v>2006</v>
      </c>
      <c r="Y264" t="b">
        <f t="shared" si="4"/>
        <v>0</v>
      </c>
    </row>
    <row r="265" spans="1:25">
      <c r="A265" s="11" t="s">
        <v>9939</v>
      </c>
      <c r="B265" t="s">
        <v>16</v>
      </c>
      <c r="C265" s="2" t="s">
        <v>8344</v>
      </c>
      <c r="D265" t="s">
        <v>2008</v>
      </c>
      <c r="E265" t="s">
        <v>2007</v>
      </c>
      <c r="F265">
        <v>1</v>
      </c>
      <c r="H265" t="s">
        <v>2012</v>
      </c>
      <c r="I265">
        <v>1</v>
      </c>
      <c r="K265" t="s">
        <v>40</v>
      </c>
      <c r="M265" t="str">
        <f>"15571912"</f>
        <v>15571912</v>
      </c>
      <c r="N265" s="2" t="str">
        <f>"20100801"</f>
        <v>20100801</v>
      </c>
      <c r="O265">
        <v>12</v>
      </c>
      <c r="P265">
        <v>4</v>
      </c>
      <c r="Q265">
        <v>454</v>
      </c>
      <c r="R265">
        <v>8</v>
      </c>
      <c r="S265" t="s">
        <v>2009</v>
      </c>
      <c r="T265" t="s">
        <v>2010</v>
      </c>
      <c r="U265" t="s">
        <v>42</v>
      </c>
      <c r="V265" t="s">
        <v>2011</v>
      </c>
      <c r="X265" t="s">
        <v>2013</v>
      </c>
      <c r="Y265" t="b">
        <f t="shared" si="4"/>
        <v>0</v>
      </c>
    </row>
    <row r="266" spans="1:25" hidden="1">
      <c r="A266" s="11" t="s">
        <v>9939</v>
      </c>
      <c r="B266" t="s">
        <v>16</v>
      </c>
      <c r="C266" s="2" t="s">
        <v>8339</v>
      </c>
      <c r="D266" t="s">
        <v>2015</v>
      </c>
      <c r="E266" t="s">
        <v>2014</v>
      </c>
      <c r="H266" t="s">
        <v>2019</v>
      </c>
      <c r="K266" t="s">
        <v>40</v>
      </c>
      <c r="M266" t="str">
        <f>"15571912"</f>
        <v>15571912</v>
      </c>
      <c r="N266" s="2" t="str">
        <f>"20150401"</f>
        <v>20150401</v>
      </c>
      <c r="O266">
        <v>17</v>
      </c>
      <c r="P266">
        <v>2</v>
      </c>
      <c r="Q266">
        <v>467</v>
      </c>
      <c r="R266">
        <v>7</v>
      </c>
      <c r="S266" t="s">
        <v>2016</v>
      </c>
      <c r="T266" t="s">
        <v>2017</v>
      </c>
      <c r="U266" t="s">
        <v>42</v>
      </c>
      <c r="V266" t="s">
        <v>2018</v>
      </c>
      <c r="X266" t="s">
        <v>2020</v>
      </c>
      <c r="Y266" t="b">
        <f t="shared" si="4"/>
        <v>1</v>
      </c>
    </row>
    <row r="267" spans="1:25" hidden="1">
      <c r="A267" s="11" t="s">
        <v>9939</v>
      </c>
      <c r="B267" t="s">
        <v>16</v>
      </c>
      <c r="C267" s="2" t="s">
        <v>8346</v>
      </c>
      <c r="D267" t="s">
        <v>2022</v>
      </c>
      <c r="E267" t="s">
        <v>2021</v>
      </c>
      <c r="F267">
        <v>0</v>
      </c>
      <c r="G267" t="s">
        <v>9178</v>
      </c>
      <c r="H267" t="s">
        <v>2026</v>
      </c>
      <c r="K267" t="s">
        <v>40</v>
      </c>
      <c r="M267" t="str">
        <f>"15571912"</f>
        <v>15571912</v>
      </c>
      <c r="N267" s="2" t="str">
        <f>"20111201"</f>
        <v>20111201</v>
      </c>
      <c r="O267">
        <v>13</v>
      </c>
      <c r="P267">
        <v>6</v>
      </c>
      <c r="Q267">
        <v>1033</v>
      </c>
      <c r="R267">
        <v>8</v>
      </c>
      <c r="S267" t="s">
        <v>2023</v>
      </c>
      <c r="T267" t="s">
        <v>2024</v>
      </c>
      <c r="U267" t="s">
        <v>42</v>
      </c>
      <c r="V267" t="s">
        <v>2025</v>
      </c>
      <c r="X267" t="s">
        <v>2027</v>
      </c>
      <c r="Y267" t="b">
        <f t="shared" si="4"/>
        <v>0</v>
      </c>
    </row>
    <row r="268" spans="1:25">
      <c r="A268" s="11" t="s">
        <v>9939</v>
      </c>
      <c r="B268" t="s">
        <v>69</v>
      </c>
      <c r="C268" s="2" t="s">
        <v>8345</v>
      </c>
      <c r="D268" t="s">
        <v>2029</v>
      </c>
      <c r="E268" t="s">
        <v>2028</v>
      </c>
      <c r="F268">
        <v>1</v>
      </c>
      <c r="H268" t="s">
        <v>2033</v>
      </c>
      <c r="I268">
        <v>1</v>
      </c>
      <c r="K268" t="s">
        <v>65</v>
      </c>
      <c r="L268" t="str">
        <f>"9781392432457"</f>
        <v>9781392432457</v>
      </c>
      <c r="M268" t="str">
        <f>"04194209"</f>
        <v>04194209</v>
      </c>
      <c r="N268" s="2" t="str">
        <f>"20200101"</f>
        <v>20200101</v>
      </c>
      <c r="O268">
        <v>81</v>
      </c>
      <c r="P268" t="s">
        <v>2030</v>
      </c>
      <c r="S268" t="s">
        <v>2031</v>
      </c>
      <c r="U268" t="s">
        <v>68</v>
      </c>
      <c r="V268" t="s">
        <v>2032</v>
      </c>
      <c r="X268" t="s">
        <v>2034</v>
      </c>
      <c r="Y268" t="b">
        <f t="shared" si="4"/>
        <v>0</v>
      </c>
    </row>
    <row r="269" spans="1:25" hidden="1">
      <c r="A269" s="11" t="s">
        <v>9939</v>
      </c>
      <c r="B269" t="s">
        <v>16</v>
      </c>
      <c r="C269" s="2" t="s">
        <v>8353</v>
      </c>
      <c r="D269" t="s">
        <v>2036</v>
      </c>
      <c r="E269" t="s">
        <v>2035</v>
      </c>
      <c r="H269" t="s">
        <v>2041</v>
      </c>
      <c r="K269" t="s">
        <v>2037</v>
      </c>
      <c r="M269" t="str">
        <f>"00223514"</f>
        <v>00223514</v>
      </c>
      <c r="N269" s="2" t="str">
        <f>"20160201"</f>
        <v>20160201</v>
      </c>
      <c r="O269">
        <v>110</v>
      </c>
      <c r="P269">
        <v>2</v>
      </c>
      <c r="Q269">
        <v>302</v>
      </c>
      <c r="R269">
        <v>30</v>
      </c>
      <c r="S269" t="s">
        <v>2038</v>
      </c>
      <c r="T269" t="s">
        <v>2039</v>
      </c>
      <c r="U269" t="s">
        <v>59</v>
      </c>
      <c r="V269" t="s">
        <v>2040</v>
      </c>
      <c r="X269" t="s">
        <v>2042</v>
      </c>
      <c r="Y269" t="b">
        <f t="shared" si="4"/>
        <v>1</v>
      </c>
    </row>
    <row r="270" spans="1:25" hidden="1">
      <c r="A270" s="11" t="s">
        <v>9939</v>
      </c>
      <c r="B270" t="s">
        <v>16</v>
      </c>
      <c r="C270" s="2" t="s">
        <v>8339</v>
      </c>
      <c r="D270" t="s">
        <v>2044</v>
      </c>
      <c r="E270" t="s">
        <v>2043</v>
      </c>
      <c r="F270">
        <v>0</v>
      </c>
      <c r="G270" t="s">
        <v>9178</v>
      </c>
      <c r="H270" t="s">
        <v>2050</v>
      </c>
      <c r="K270" t="s">
        <v>2045</v>
      </c>
      <c r="M270" t="str">
        <f>"08999546"</f>
        <v>08999546</v>
      </c>
      <c r="N270" s="2" t="str">
        <f>"20150201"</f>
        <v>20150201</v>
      </c>
      <c r="O270">
        <v>27</v>
      </c>
      <c r="P270">
        <v>1</v>
      </c>
      <c r="Q270">
        <v>27</v>
      </c>
      <c r="R270">
        <v>17</v>
      </c>
      <c r="S270" t="s">
        <v>2046</v>
      </c>
      <c r="T270" t="s">
        <v>2047</v>
      </c>
      <c r="U270" t="s">
        <v>2048</v>
      </c>
      <c r="V270" t="s">
        <v>2049</v>
      </c>
      <c r="X270" t="s">
        <v>2051</v>
      </c>
      <c r="Y270" t="b">
        <f t="shared" si="4"/>
        <v>0</v>
      </c>
    </row>
    <row r="271" spans="1:25">
      <c r="A271" s="11" t="s">
        <v>9939</v>
      </c>
      <c r="B271" t="s">
        <v>16</v>
      </c>
      <c r="C271" s="2" t="s">
        <v>8340</v>
      </c>
      <c r="D271" t="s">
        <v>2053</v>
      </c>
      <c r="E271" t="s">
        <v>2052</v>
      </c>
      <c r="F271">
        <v>1</v>
      </c>
      <c r="H271" t="s">
        <v>2057</v>
      </c>
      <c r="I271">
        <v>1</v>
      </c>
      <c r="K271" t="s">
        <v>766</v>
      </c>
      <c r="M271" t="str">
        <f>"00050067"</f>
        <v>00050067</v>
      </c>
      <c r="N271" s="2" t="str">
        <f>"20180801"</f>
        <v>20180801</v>
      </c>
      <c r="O271">
        <v>53</v>
      </c>
      <c r="P271">
        <v>4</v>
      </c>
      <c r="Q271">
        <v>339</v>
      </c>
      <c r="R271">
        <v>6</v>
      </c>
      <c r="S271" t="s">
        <v>2054</v>
      </c>
      <c r="T271" t="s">
        <v>2055</v>
      </c>
      <c r="U271" t="s">
        <v>730</v>
      </c>
      <c r="V271" t="s">
        <v>2056</v>
      </c>
      <c r="X271" t="s">
        <v>2058</v>
      </c>
      <c r="Y271" t="b">
        <f t="shared" si="4"/>
        <v>0</v>
      </c>
    </row>
    <row r="272" spans="1:25" hidden="1">
      <c r="A272" s="11" t="s">
        <v>9939</v>
      </c>
      <c r="B272" t="s">
        <v>16</v>
      </c>
      <c r="C272" s="2" t="s">
        <v>8349</v>
      </c>
      <c r="D272" t="s">
        <v>2060</v>
      </c>
      <c r="E272" t="s">
        <v>2059</v>
      </c>
      <c r="F272">
        <v>0</v>
      </c>
      <c r="G272" t="s">
        <v>9178</v>
      </c>
      <c r="H272" t="s">
        <v>2065</v>
      </c>
      <c r="K272" t="s">
        <v>2061</v>
      </c>
      <c r="M272" t="str">
        <f>"00207411"</f>
        <v>00207411</v>
      </c>
      <c r="N272" s="2" t="str">
        <f>"20190101"</f>
        <v>20190101</v>
      </c>
      <c r="O272">
        <v>48</v>
      </c>
      <c r="P272">
        <v>1</v>
      </c>
      <c r="Q272">
        <v>40</v>
      </c>
      <c r="R272">
        <v>22</v>
      </c>
      <c r="S272" t="s">
        <v>2062</v>
      </c>
      <c r="T272" t="s">
        <v>2063</v>
      </c>
      <c r="U272" t="s">
        <v>87</v>
      </c>
      <c r="V272" t="s">
        <v>2064</v>
      </c>
      <c r="X272" t="s">
        <v>2066</v>
      </c>
      <c r="Y272" t="b">
        <f t="shared" si="4"/>
        <v>0</v>
      </c>
    </row>
    <row r="273" spans="1:25" hidden="1">
      <c r="A273" s="11" t="s">
        <v>9939</v>
      </c>
      <c r="B273" t="s">
        <v>16</v>
      </c>
      <c r="C273" s="2" t="s">
        <v>8343</v>
      </c>
      <c r="D273" t="s">
        <v>2068</v>
      </c>
      <c r="E273" t="s">
        <v>2067</v>
      </c>
      <c r="F273">
        <v>0</v>
      </c>
      <c r="G273" t="s">
        <v>9178</v>
      </c>
      <c r="H273" t="s">
        <v>2073</v>
      </c>
      <c r="K273" t="s">
        <v>2069</v>
      </c>
      <c r="M273" t="str">
        <f>"15365581"</f>
        <v>15365581</v>
      </c>
      <c r="N273" s="2" t="str">
        <f>"20170601"</f>
        <v>20170601</v>
      </c>
      <c r="O273">
        <v>34</v>
      </c>
      <c r="P273">
        <v>4</v>
      </c>
      <c r="Q273">
        <v>375</v>
      </c>
      <c r="R273">
        <v>33</v>
      </c>
      <c r="S273" t="s">
        <v>2070</v>
      </c>
      <c r="T273" t="s">
        <v>2071</v>
      </c>
      <c r="U273" t="s">
        <v>224</v>
      </c>
      <c r="V273" t="s">
        <v>2072</v>
      </c>
      <c r="X273" t="s">
        <v>2074</v>
      </c>
      <c r="Y273" t="b">
        <f t="shared" si="4"/>
        <v>0</v>
      </c>
    </row>
    <row r="274" spans="1:25">
      <c r="A274" s="11" t="s">
        <v>9939</v>
      </c>
      <c r="B274" t="s">
        <v>16</v>
      </c>
      <c r="C274" s="2" t="s">
        <v>8343</v>
      </c>
      <c r="D274" t="s">
        <v>2076</v>
      </c>
      <c r="E274" t="s">
        <v>2075</v>
      </c>
      <c r="F274">
        <v>1</v>
      </c>
      <c r="H274" t="s">
        <v>2080</v>
      </c>
      <c r="I274">
        <v>1</v>
      </c>
      <c r="K274" t="s">
        <v>1504</v>
      </c>
      <c r="M274" t="str">
        <f>"01612840"</f>
        <v>01612840</v>
      </c>
      <c r="N274" s="2" t="str">
        <f>"20170401"</f>
        <v>20170401</v>
      </c>
      <c r="O274">
        <v>38</v>
      </c>
      <c r="P274">
        <v>4</v>
      </c>
      <c r="Q274">
        <v>301</v>
      </c>
      <c r="R274">
        <v>9</v>
      </c>
      <c r="S274" t="s">
        <v>2077</v>
      </c>
      <c r="T274" t="s">
        <v>2078</v>
      </c>
      <c r="U274" t="s">
        <v>87</v>
      </c>
      <c r="V274" t="s">
        <v>2079</v>
      </c>
      <c r="X274" t="s">
        <v>2081</v>
      </c>
      <c r="Y274" t="b">
        <f t="shared" si="4"/>
        <v>0</v>
      </c>
    </row>
    <row r="275" spans="1:25" hidden="1">
      <c r="A275" s="11" t="s">
        <v>9939</v>
      </c>
      <c r="B275" t="s">
        <v>16</v>
      </c>
      <c r="C275" s="2" t="s">
        <v>8336</v>
      </c>
      <c r="D275" t="s">
        <v>2083</v>
      </c>
      <c r="E275" t="s">
        <v>2082</v>
      </c>
      <c r="F275">
        <v>0</v>
      </c>
      <c r="G275" t="s">
        <v>9249</v>
      </c>
      <c r="H275" t="s">
        <v>2087</v>
      </c>
      <c r="K275" t="s">
        <v>260</v>
      </c>
      <c r="M275" t="str">
        <f>"07399332"</f>
        <v>07399332</v>
      </c>
      <c r="N275" s="2" t="str">
        <f>"20070101"</f>
        <v>20070101</v>
      </c>
      <c r="O275">
        <v>28</v>
      </c>
      <c r="P275">
        <v>4</v>
      </c>
      <c r="Q275">
        <v>309</v>
      </c>
      <c r="R275">
        <v>20</v>
      </c>
      <c r="S275" t="s">
        <v>2084</v>
      </c>
      <c r="T275" t="s">
        <v>2085</v>
      </c>
      <c r="U275" t="s">
        <v>87</v>
      </c>
      <c r="V275" t="s">
        <v>2086</v>
      </c>
      <c r="X275" t="s">
        <v>2088</v>
      </c>
      <c r="Y275" t="b">
        <f t="shared" si="4"/>
        <v>0</v>
      </c>
    </row>
    <row r="276" spans="1:25">
      <c r="A276" s="11" t="s">
        <v>9939</v>
      </c>
      <c r="B276" t="s">
        <v>16</v>
      </c>
      <c r="C276" s="2" t="s">
        <v>8336</v>
      </c>
      <c r="D276" t="s">
        <v>2090</v>
      </c>
      <c r="E276" t="s">
        <v>2089</v>
      </c>
      <c r="F276">
        <v>1</v>
      </c>
      <c r="H276" t="s">
        <v>2095</v>
      </c>
      <c r="I276">
        <v>1</v>
      </c>
      <c r="J276" t="s">
        <v>9952</v>
      </c>
      <c r="K276" t="s">
        <v>664</v>
      </c>
      <c r="M276" t="str">
        <f>"00332941"</f>
        <v>00332941</v>
      </c>
      <c r="N276" s="2" t="str">
        <f>"20070601"</f>
        <v>20070601</v>
      </c>
      <c r="O276">
        <v>100</v>
      </c>
      <c r="P276" t="s">
        <v>2091</v>
      </c>
      <c r="Q276">
        <v>1013</v>
      </c>
      <c r="R276">
        <v>11</v>
      </c>
      <c r="S276" t="s">
        <v>2092</v>
      </c>
      <c r="T276" t="s">
        <v>2093</v>
      </c>
      <c r="U276" t="s">
        <v>664</v>
      </c>
      <c r="V276" t="s">
        <v>2094</v>
      </c>
      <c r="X276" t="s">
        <v>2096</v>
      </c>
      <c r="Y276" t="b">
        <f t="shared" si="4"/>
        <v>0</v>
      </c>
    </row>
    <row r="277" spans="1:25" hidden="1">
      <c r="A277" s="11" t="s">
        <v>9939</v>
      </c>
      <c r="B277" t="s">
        <v>16</v>
      </c>
      <c r="C277" s="2" t="s">
        <v>8346</v>
      </c>
      <c r="D277" t="s">
        <v>2098</v>
      </c>
      <c r="E277" t="s">
        <v>2097</v>
      </c>
      <c r="F277">
        <v>0</v>
      </c>
      <c r="G277" t="s">
        <v>9178</v>
      </c>
      <c r="H277" t="s">
        <v>2102</v>
      </c>
      <c r="K277" t="s">
        <v>40</v>
      </c>
      <c r="M277" t="str">
        <f>"15571912"</f>
        <v>15571912</v>
      </c>
      <c r="N277" s="2" t="str">
        <f>"20110801"</f>
        <v>20110801</v>
      </c>
      <c r="O277">
        <v>13</v>
      </c>
      <c r="P277">
        <v>4</v>
      </c>
      <c r="Q277">
        <v>706</v>
      </c>
      <c r="R277">
        <v>7</v>
      </c>
      <c r="S277" t="s">
        <v>2099</v>
      </c>
      <c r="T277" t="s">
        <v>2100</v>
      </c>
      <c r="U277" t="s">
        <v>42</v>
      </c>
      <c r="V277" t="s">
        <v>2101</v>
      </c>
      <c r="X277" t="s">
        <v>2103</v>
      </c>
      <c r="Y277" t="b">
        <f t="shared" si="4"/>
        <v>0</v>
      </c>
    </row>
    <row r="278" spans="1:25" hidden="1">
      <c r="A278" s="11" t="s">
        <v>9939</v>
      </c>
      <c r="B278" t="s">
        <v>16</v>
      </c>
      <c r="C278" s="2" t="s">
        <v>8337</v>
      </c>
      <c r="D278" t="s">
        <v>2105</v>
      </c>
      <c r="E278" t="s">
        <v>2104</v>
      </c>
      <c r="F278">
        <v>0</v>
      </c>
      <c r="G278" t="s">
        <v>9178</v>
      </c>
      <c r="H278" t="s">
        <v>2109</v>
      </c>
      <c r="K278" t="s">
        <v>140</v>
      </c>
      <c r="M278" t="str">
        <f>"02779536"</f>
        <v>02779536</v>
      </c>
      <c r="N278" s="2" t="str">
        <f>"20130801"</f>
        <v>20130801</v>
      </c>
      <c r="O278">
        <v>90</v>
      </c>
      <c r="Q278">
        <v>40</v>
      </c>
      <c r="R278">
        <v>9</v>
      </c>
      <c r="S278" t="s">
        <v>2106</v>
      </c>
      <c r="T278" t="s">
        <v>2107</v>
      </c>
      <c r="U278" t="s">
        <v>34</v>
      </c>
      <c r="V278" t="s">
        <v>2108</v>
      </c>
      <c r="X278" t="s">
        <v>2110</v>
      </c>
      <c r="Y278" t="b">
        <f t="shared" si="4"/>
        <v>0</v>
      </c>
    </row>
    <row r="279" spans="1:25">
      <c r="A279" s="11" t="s">
        <v>9939</v>
      </c>
      <c r="B279" t="s">
        <v>395</v>
      </c>
      <c r="C279" s="2" t="s">
        <v>8334</v>
      </c>
      <c r="D279" t="s">
        <v>2112</v>
      </c>
      <c r="E279" t="s">
        <v>2111</v>
      </c>
      <c r="F279">
        <v>1</v>
      </c>
      <c r="H279" t="s">
        <v>2118</v>
      </c>
      <c r="I279">
        <v>0</v>
      </c>
      <c r="J279" t="s">
        <v>9249</v>
      </c>
      <c r="K279" t="s">
        <v>2113</v>
      </c>
      <c r="L279" t="str">
        <f>"9781461491286; 9781461491293"</f>
        <v>9781461491286; 9781461491293</v>
      </c>
      <c r="N279" s="2" t="str">
        <f>"20140101"</f>
        <v>20140101</v>
      </c>
      <c r="Q279">
        <v>235</v>
      </c>
      <c r="R279">
        <v>24</v>
      </c>
      <c r="S279" t="s">
        <v>2114</v>
      </c>
      <c r="T279" t="s">
        <v>2115</v>
      </c>
      <c r="U279" t="s">
        <v>2116</v>
      </c>
      <c r="V279" t="s">
        <v>2117</v>
      </c>
      <c r="X279" t="s">
        <v>2119</v>
      </c>
      <c r="Y279" t="b">
        <f t="shared" si="4"/>
        <v>0</v>
      </c>
    </row>
    <row r="280" spans="1:25">
      <c r="A280" s="11" t="s">
        <v>9939</v>
      </c>
      <c r="B280" t="s">
        <v>16</v>
      </c>
      <c r="C280" s="2" t="s">
        <v>8346</v>
      </c>
      <c r="D280" t="s">
        <v>2121</v>
      </c>
      <c r="E280" t="s">
        <v>2120</v>
      </c>
      <c r="F280">
        <v>1</v>
      </c>
      <c r="H280" t="s">
        <v>2125</v>
      </c>
      <c r="I280">
        <v>1</v>
      </c>
      <c r="K280" t="s">
        <v>155</v>
      </c>
      <c r="M280" t="str">
        <f>"00910562"</f>
        <v>00910562</v>
      </c>
      <c r="N280" s="2" t="str">
        <f>"20111201"</f>
        <v>20111201</v>
      </c>
      <c r="O280">
        <v>48</v>
      </c>
      <c r="P280" s="1">
        <v>44289</v>
      </c>
      <c r="Q280" s="1">
        <v>168</v>
      </c>
      <c r="R280">
        <v>13</v>
      </c>
      <c r="S280" t="s">
        <v>2122</v>
      </c>
      <c r="T280" t="s">
        <v>2123</v>
      </c>
      <c r="U280" t="s">
        <v>42</v>
      </c>
      <c r="V280" t="s">
        <v>2124</v>
      </c>
      <c r="X280" t="s">
        <v>2126</v>
      </c>
      <c r="Y280" t="b">
        <f t="shared" si="4"/>
        <v>0</v>
      </c>
    </row>
    <row r="281" spans="1:25">
      <c r="A281" s="11" t="s">
        <v>9939</v>
      </c>
      <c r="B281" t="s">
        <v>16</v>
      </c>
      <c r="C281" s="2" t="s">
        <v>8337</v>
      </c>
      <c r="D281" t="s">
        <v>2128</v>
      </c>
      <c r="E281" t="s">
        <v>2127</v>
      </c>
      <c r="F281">
        <v>1</v>
      </c>
      <c r="H281" t="s">
        <v>2132</v>
      </c>
      <c r="I281">
        <v>0</v>
      </c>
      <c r="J281" t="s">
        <v>9265</v>
      </c>
      <c r="K281" t="s">
        <v>1414</v>
      </c>
      <c r="M281" t="str">
        <f>"13557858"</f>
        <v>13557858</v>
      </c>
      <c r="N281" s="2" t="str">
        <f>"20131201"</f>
        <v>20131201</v>
      </c>
      <c r="O281">
        <v>18</v>
      </c>
      <c r="P281">
        <v>6</v>
      </c>
      <c r="Q281">
        <v>586</v>
      </c>
      <c r="R281">
        <v>24</v>
      </c>
      <c r="S281" t="s">
        <v>2129</v>
      </c>
      <c r="T281" t="s">
        <v>2130</v>
      </c>
      <c r="U281" t="s">
        <v>87</v>
      </c>
      <c r="V281" t="s">
        <v>2131</v>
      </c>
      <c r="X281" t="s">
        <v>2133</v>
      </c>
      <c r="Y281" t="b">
        <f t="shared" si="4"/>
        <v>0</v>
      </c>
    </row>
    <row r="282" spans="1:25">
      <c r="A282" s="11" t="s">
        <v>9939</v>
      </c>
      <c r="B282" t="s">
        <v>16</v>
      </c>
      <c r="C282" s="2" t="s">
        <v>8336</v>
      </c>
      <c r="D282" t="s">
        <v>2135</v>
      </c>
      <c r="E282" t="s">
        <v>2134</v>
      </c>
      <c r="F282">
        <v>1</v>
      </c>
      <c r="H282" t="s">
        <v>2139</v>
      </c>
      <c r="I282">
        <v>1</v>
      </c>
      <c r="K282" t="s">
        <v>40</v>
      </c>
      <c r="M282" t="str">
        <f>"15571912"</f>
        <v>15571912</v>
      </c>
      <c r="N282" s="2" t="str">
        <f>"20070701"</f>
        <v>20070701</v>
      </c>
      <c r="O282">
        <v>9</v>
      </c>
      <c r="P282">
        <v>3</v>
      </c>
      <c r="Q282">
        <v>237</v>
      </c>
      <c r="R282">
        <v>8</v>
      </c>
      <c r="S282" t="s">
        <v>2136</v>
      </c>
      <c r="T282" t="s">
        <v>2137</v>
      </c>
      <c r="U282" t="s">
        <v>42</v>
      </c>
      <c r="V282" t="s">
        <v>2138</v>
      </c>
      <c r="X282" t="s">
        <v>2140</v>
      </c>
      <c r="Y282" t="b">
        <f t="shared" si="4"/>
        <v>0</v>
      </c>
    </row>
    <row r="283" spans="1:25">
      <c r="A283" s="11" t="s">
        <v>9939</v>
      </c>
      <c r="B283" t="s">
        <v>16</v>
      </c>
      <c r="C283" s="2" t="s">
        <v>8337</v>
      </c>
      <c r="D283" t="s">
        <v>2142</v>
      </c>
      <c r="E283" t="s">
        <v>2141</v>
      </c>
      <c r="F283">
        <v>1</v>
      </c>
      <c r="H283" t="s">
        <v>2146</v>
      </c>
      <c r="I283">
        <v>0</v>
      </c>
      <c r="J283" t="s">
        <v>9245</v>
      </c>
      <c r="K283" t="s">
        <v>172</v>
      </c>
      <c r="M283" t="str">
        <f>"01634372"</f>
        <v>01634372</v>
      </c>
      <c r="N283" s="2" t="str">
        <f>"20130101"</f>
        <v>20130101</v>
      </c>
      <c r="O283">
        <v>56</v>
      </c>
      <c r="P283">
        <v>1</v>
      </c>
      <c r="Q283">
        <v>67</v>
      </c>
      <c r="R283">
        <v>16</v>
      </c>
      <c r="S283" t="s">
        <v>2143</v>
      </c>
      <c r="T283" t="s">
        <v>2144</v>
      </c>
      <c r="U283" t="s">
        <v>87</v>
      </c>
      <c r="V283" t="s">
        <v>2145</v>
      </c>
      <c r="X283" t="s">
        <v>2147</v>
      </c>
      <c r="Y283" t="b">
        <f t="shared" si="4"/>
        <v>0</v>
      </c>
    </row>
    <row r="284" spans="1:25">
      <c r="A284" s="11" t="s">
        <v>9939</v>
      </c>
      <c r="B284" t="s">
        <v>16</v>
      </c>
      <c r="C284" s="2" t="s">
        <v>8353</v>
      </c>
      <c r="D284" t="s">
        <v>2149</v>
      </c>
      <c r="E284" t="s">
        <v>2148</v>
      </c>
      <c r="F284">
        <v>1</v>
      </c>
      <c r="H284" t="s">
        <v>2153</v>
      </c>
      <c r="I284">
        <v>1</v>
      </c>
      <c r="K284" t="s">
        <v>970</v>
      </c>
      <c r="M284" t="str">
        <f>"10999809"</f>
        <v>10999809</v>
      </c>
      <c r="N284" s="2" t="str">
        <f>"20160101"</f>
        <v>20160101</v>
      </c>
      <c r="O284">
        <v>22</v>
      </c>
      <c r="P284">
        <v>1</v>
      </c>
      <c r="Q284">
        <v>58</v>
      </c>
      <c r="R284">
        <v>11</v>
      </c>
      <c r="S284" t="s">
        <v>2150</v>
      </c>
      <c r="T284" t="s">
        <v>2151</v>
      </c>
      <c r="U284" t="s">
        <v>183</v>
      </c>
      <c r="V284" t="s">
        <v>2152</v>
      </c>
      <c r="X284" t="s">
        <v>2154</v>
      </c>
      <c r="Y284" t="b">
        <f t="shared" si="4"/>
        <v>0</v>
      </c>
    </row>
    <row r="285" spans="1:25">
      <c r="A285" s="11" t="s">
        <v>9939</v>
      </c>
      <c r="B285" t="s">
        <v>69</v>
      </c>
      <c r="C285" s="2" t="s">
        <v>8353</v>
      </c>
      <c r="D285" t="s">
        <v>2156</v>
      </c>
      <c r="E285" t="s">
        <v>2155</v>
      </c>
      <c r="F285">
        <v>1</v>
      </c>
      <c r="H285" t="s">
        <v>2159</v>
      </c>
      <c r="I285">
        <v>1</v>
      </c>
      <c r="K285" t="s">
        <v>101</v>
      </c>
      <c r="L285" t="str">
        <f>"9781321563979"</f>
        <v>9781321563979</v>
      </c>
      <c r="M285" t="str">
        <f>"04194217"</f>
        <v>04194217</v>
      </c>
      <c r="N285" s="2" t="str">
        <f>"20160101"</f>
        <v>20160101</v>
      </c>
      <c r="O285">
        <v>76</v>
      </c>
      <c r="P285" t="s">
        <v>284</v>
      </c>
      <c r="S285" t="s">
        <v>2157</v>
      </c>
      <c r="U285" t="s">
        <v>68</v>
      </c>
      <c r="V285" t="s">
        <v>2158</v>
      </c>
      <c r="X285" t="s">
        <v>2160</v>
      </c>
      <c r="Y285" t="b">
        <f t="shared" si="4"/>
        <v>0</v>
      </c>
    </row>
    <row r="286" spans="1:25" hidden="1">
      <c r="A286" s="11" t="s">
        <v>9939</v>
      </c>
      <c r="B286" t="s">
        <v>16</v>
      </c>
      <c r="C286" s="2" t="s">
        <v>8353</v>
      </c>
      <c r="D286" t="s">
        <v>2162</v>
      </c>
      <c r="E286" t="s">
        <v>2161</v>
      </c>
      <c r="H286" t="s">
        <v>2167</v>
      </c>
      <c r="K286" t="s">
        <v>2163</v>
      </c>
      <c r="M286" t="str">
        <f>"00223999"</f>
        <v>00223999</v>
      </c>
      <c r="N286" s="2" t="str">
        <f>"20160401"</f>
        <v>20160401</v>
      </c>
      <c r="O286">
        <v>83</v>
      </c>
      <c r="Q286">
        <v>22</v>
      </c>
      <c r="R286">
        <v>5</v>
      </c>
      <c r="S286" t="s">
        <v>2164</v>
      </c>
      <c r="T286" t="s">
        <v>2165</v>
      </c>
      <c r="U286" t="s">
        <v>34</v>
      </c>
      <c r="V286" t="s">
        <v>2166</v>
      </c>
      <c r="X286" t="s">
        <v>2168</v>
      </c>
      <c r="Y286" t="b">
        <f t="shared" si="4"/>
        <v>1</v>
      </c>
    </row>
    <row r="287" spans="1:25">
      <c r="A287" s="11" t="s">
        <v>9939</v>
      </c>
      <c r="B287" t="s">
        <v>16</v>
      </c>
      <c r="C287" s="2" t="s">
        <v>8337</v>
      </c>
      <c r="D287" t="s">
        <v>2170</v>
      </c>
      <c r="E287" t="s">
        <v>2169</v>
      </c>
      <c r="F287">
        <v>1</v>
      </c>
      <c r="H287" t="s">
        <v>2176</v>
      </c>
      <c r="I287">
        <v>1</v>
      </c>
      <c r="K287" t="s">
        <v>2171</v>
      </c>
      <c r="M287" t="str">
        <f>"19371888"</f>
        <v>19371888</v>
      </c>
      <c r="N287" s="2" t="str">
        <f>"20130501"</f>
        <v>20130501</v>
      </c>
      <c r="O287">
        <v>74</v>
      </c>
      <c r="P287">
        <v>3</v>
      </c>
      <c r="Q287">
        <v>437</v>
      </c>
      <c r="R287">
        <v>10</v>
      </c>
      <c r="S287" t="s">
        <v>2172</v>
      </c>
      <c r="T287" t="s">
        <v>2173</v>
      </c>
      <c r="U287" t="s">
        <v>2174</v>
      </c>
      <c r="V287" t="s">
        <v>2175</v>
      </c>
      <c r="X287" t="s">
        <v>2177</v>
      </c>
      <c r="Y287" t="b">
        <f t="shared" si="4"/>
        <v>0</v>
      </c>
    </row>
    <row r="288" spans="1:25" hidden="1">
      <c r="A288" s="11" t="s">
        <v>9939</v>
      </c>
      <c r="B288" t="s">
        <v>16</v>
      </c>
      <c r="C288" s="2" t="s">
        <v>8338</v>
      </c>
      <c r="D288" t="s">
        <v>2179</v>
      </c>
      <c r="E288" t="s">
        <v>2178</v>
      </c>
      <c r="H288" t="s">
        <v>2184</v>
      </c>
      <c r="K288" t="s">
        <v>2180</v>
      </c>
      <c r="M288" t="str">
        <f>"09337954"</f>
        <v>09337954</v>
      </c>
      <c r="N288" s="2" t="str">
        <f>"20061201"</f>
        <v>20061201</v>
      </c>
      <c r="O288">
        <v>41</v>
      </c>
      <c r="P288">
        <v>12</v>
      </c>
      <c r="Q288">
        <v>927</v>
      </c>
      <c r="R288">
        <v>8</v>
      </c>
      <c r="S288" t="s">
        <v>2181</v>
      </c>
      <c r="T288" t="s">
        <v>2182</v>
      </c>
      <c r="U288" t="s">
        <v>42</v>
      </c>
      <c r="V288" t="s">
        <v>2183</v>
      </c>
      <c r="X288" t="s">
        <v>2185</v>
      </c>
      <c r="Y288" t="b">
        <f t="shared" si="4"/>
        <v>1</v>
      </c>
    </row>
    <row r="289" spans="1:25" hidden="1">
      <c r="A289" s="11" t="s">
        <v>9939</v>
      </c>
      <c r="B289" t="s">
        <v>16</v>
      </c>
      <c r="C289" s="2" t="s">
        <v>8342</v>
      </c>
      <c r="D289" t="s">
        <v>2187</v>
      </c>
      <c r="E289" t="s">
        <v>2186</v>
      </c>
      <c r="F289">
        <v>0</v>
      </c>
      <c r="G289" t="s">
        <v>9178</v>
      </c>
      <c r="H289" t="s">
        <v>2191</v>
      </c>
      <c r="K289" t="s">
        <v>1414</v>
      </c>
      <c r="M289" t="str">
        <f>"13557858"</f>
        <v>13557858</v>
      </c>
      <c r="N289" s="2" t="str">
        <f>"20121201"</f>
        <v>20121201</v>
      </c>
      <c r="O289">
        <v>17</v>
      </c>
      <c r="P289">
        <v>6</v>
      </c>
      <c r="Q289">
        <v>677</v>
      </c>
      <c r="R289">
        <v>19</v>
      </c>
      <c r="S289" t="s">
        <v>2188</v>
      </c>
      <c r="T289" t="s">
        <v>2189</v>
      </c>
      <c r="U289" t="s">
        <v>87</v>
      </c>
      <c r="V289" t="s">
        <v>2190</v>
      </c>
      <c r="X289" t="s">
        <v>2192</v>
      </c>
      <c r="Y289" t="b">
        <f t="shared" si="4"/>
        <v>0</v>
      </c>
    </row>
    <row r="290" spans="1:25" hidden="1">
      <c r="A290" s="11" t="s">
        <v>9939</v>
      </c>
      <c r="B290" t="s">
        <v>16</v>
      </c>
      <c r="C290" s="2" t="s">
        <v>8346</v>
      </c>
      <c r="D290" t="s">
        <v>2194</v>
      </c>
      <c r="E290" t="s">
        <v>2193</v>
      </c>
      <c r="F290">
        <v>0</v>
      </c>
      <c r="G290" t="s">
        <v>9178</v>
      </c>
      <c r="H290" t="s">
        <v>2198</v>
      </c>
      <c r="K290" t="s">
        <v>576</v>
      </c>
      <c r="M290" t="str">
        <f>"10911359"</f>
        <v>10911359</v>
      </c>
      <c r="N290" s="2" t="str">
        <f>"20110201"</f>
        <v>20110201</v>
      </c>
      <c r="O290">
        <v>21</v>
      </c>
      <c r="P290">
        <v>2</v>
      </c>
      <c r="Q290">
        <v>196</v>
      </c>
      <c r="R290">
        <v>13</v>
      </c>
      <c r="S290" t="s">
        <v>2195</v>
      </c>
      <c r="T290" t="s">
        <v>2196</v>
      </c>
      <c r="U290" t="s">
        <v>87</v>
      </c>
      <c r="V290" t="s">
        <v>2197</v>
      </c>
      <c r="X290" t="s">
        <v>2199</v>
      </c>
      <c r="Y290" t="b">
        <f t="shared" si="4"/>
        <v>0</v>
      </c>
    </row>
    <row r="291" spans="1:25" hidden="1">
      <c r="A291" s="11" t="s">
        <v>9939</v>
      </c>
      <c r="B291" t="s">
        <v>16</v>
      </c>
      <c r="C291" s="2" t="s">
        <v>8340</v>
      </c>
      <c r="D291" t="s">
        <v>2201</v>
      </c>
      <c r="E291" t="s">
        <v>2200</v>
      </c>
      <c r="F291">
        <v>0</v>
      </c>
      <c r="G291" t="s">
        <v>9178</v>
      </c>
      <c r="H291" t="s">
        <v>2205</v>
      </c>
      <c r="K291" t="s">
        <v>48</v>
      </c>
      <c r="M291" t="str">
        <f>"07399863"</f>
        <v>07399863</v>
      </c>
      <c r="N291" s="2" t="str">
        <f>"20180201"</f>
        <v>20180201</v>
      </c>
      <c r="O291">
        <v>40</v>
      </c>
      <c r="P291">
        <v>1</v>
      </c>
      <c r="Q291">
        <v>57</v>
      </c>
      <c r="R291">
        <v>16</v>
      </c>
      <c r="S291" t="s">
        <v>2202</v>
      </c>
      <c r="T291" t="s">
        <v>2203</v>
      </c>
      <c r="U291" t="s">
        <v>15</v>
      </c>
      <c r="V291" t="s">
        <v>2204</v>
      </c>
      <c r="X291" t="s">
        <v>2206</v>
      </c>
      <c r="Y291" t="b">
        <f t="shared" si="4"/>
        <v>0</v>
      </c>
    </row>
    <row r="292" spans="1:25">
      <c r="A292" s="11" t="s">
        <v>9939</v>
      </c>
      <c r="B292" t="s">
        <v>16</v>
      </c>
      <c r="C292" s="2" t="s">
        <v>8339</v>
      </c>
      <c r="D292" t="s">
        <v>2208</v>
      </c>
      <c r="E292" t="s">
        <v>2207</v>
      </c>
      <c r="F292">
        <v>1</v>
      </c>
      <c r="H292" t="s">
        <v>2212</v>
      </c>
      <c r="I292">
        <v>1</v>
      </c>
      <c r="K292" t="s">
        <v>40</v>
      </c>
      <c r="M292" t="str">
        <f>"15571912"</f>
        <v>15571912</v>
      </c>
      <c r="N292" s="2" t="str">
        <f>"20151001"</f>
        <v>20151001</v>
      </c>
      <c r="O292">
        <v>17</v>
      </c>
      <c r="P292">
        <v>5</v>
      </c>
      <c r="Q292">
        <v>1427</v>
      </c>
      <c r="R292">
        <v>9</v>
      </c>
      <c r="S292" t="s">
        <v>2209</v>
      </c>
      <c r="T292" t="s">
        <v>2210</v>
      </c>
      <c r="U292" t="s">
        <v>42</v>
      </c>
      <c r="V292" t="s">
        <v>2211</v>
      </c>
      <c r="X292" t="s">
        <v>2213</v>
      </c>
      <c r="Y292" t="b">
        <f t="shared" si="4"/>
        <v>0</v>
      </c>
    </row>
    <row r="293" spans="1:25" hidden="1">
      <c r="A293" s="11" t="s">
        <v>9939</v>
      </c>
      <c r="B293" t="s">
        <v>69</v>
      </c>
      <c r="C293" s="2" t="s">
        <v>8347</v>
      </c>
      <c r="D293" t="s">
        <v>2215</v>
      </c>
      <c r="E293" t="s">
        <v>2214</v>
      </c>
      <c r="H293" t="s">
        <v>2219</v>
      </c>
      <c r="K293" t="s">
        <v>101</v>
      </c>
      <c r="M293" t="str">
        <f>"04194217"</f>
        <v>04194217</v>
      </c>
      <c r="N293" s="2" t="str">
        <f>"20080101"</f>
        <v>20080101</v>
      </c>
      <c r="O293">
        <v>68</v>
      </c>
      <c r="P293" t="s">
        <v>2216</v>
      </c>
      <c r="Q293">
        <v>4386</v>
      </c>
      <c r="R293">
        <v>1</v>
      </c>
      <c r="S293" t="s">
        <v>2217</v>
      </c>
      <c r="U293" t="s">
        <v>68</v>
      </c>
      <c r="V293" t="s">
        <v>2218</v>
      </c>
      <c r="X293" t="s">
        <v>2220</v>
      </c>
      <c r="Y293" t="b">
        <f t="shared" si="4"/>
        <v>1</v>
      </c>
    </row>
    <row r="294" spans="1:25">
      <c r="A294" s="11" t="s">
        <v>9939</v>
      </c>
      <c r="B294" t="s">
        <v>16</v>
      </c>
      <c r="C294" s="2" t="s">
        <v>8353</v>
      </c>
      <c r="D294" t="s">
        <v>2222</v>
      </c>
      <c r="E294" t="s">
        <v>2221</v>
      </c>
      <c r="F294">
        <v>1</v>
      </c>
      <c r="H294" t="s">
        <v>2226</v>
      </c>
      <c r="I294">
        <v>0</v>
      </c>
      <c r="J294" t="s">
        <v>9178</v>
      </c>
      <c r="K294" t="s">
        <v>172</v>
      </c>
      <c r="M294" t="str">
        <f>"01634372"</f>
        <v>01634372</v>
      </c>
      <c r="N294" s="2" t="str">
        <f>"20160201"</f>
        <v>20160201</v>
      </c>
      <c r="O294">
        <v>59</v>
      </c>
      <c r="P294">
        <v>2</v>
      </c>
      <c r="Q294">
        <v>77</v>
      </c>
      <c r="R294">
        <v>21</v>
      </c>
      <c r="S294" t="s">
        <v>2223</v>
      </c>
      <c r="T294" t="s">
        <v>2224</v>
      </c>
      <c r="U294" t="s">
        <v>87</v>
      </c>
      <c r="V294" t="s">
        <v>2225</v>
      </c>
      <c r="X294" t="s">
        <v>2227</v>
      </c>
      <c r="Y294" t="b">
        <f t="shared" si="4"/>
        <v>0</v>
      </c>
    </row>
    <row r="295" spans="1:25" hidden="1">
      <c r="A295" s="11" t="s">
        <v>9939</v>
      </c>
      <c r="B295" t="s">
        <v>16</v>
      </c>
      <c r="C295" s="2" t="s">
        <v>8336</v>
      </c>
      <c r="D295" t="s">
        <v>2229</v>
      </c>
      <c r="E295" t="s">
        <v>2228</v>
      </c>
      <c r="F295">
        <v>0</v>
      </c>
      <c r="G295" t="s">
        <v>9178</v>
      </c>
      <c r="H295" t="s">
        <v>2234</v>
      </c>
      <c r="K295" t="s">
        <v>2230</v>
      </c>
      <c r="M295" t="str">
        <f>"01606379"</f>
        <v>01606379</v>
      </c>
      <c r="N295" s="2" t="str">
        <f>"20070701"</f>
        <v>20070701</v>
      </c>
      <c r="O295">
        <v>30</v>
      </c>
      <c r="P295">
        <v>3</v>
      </c>
      <c r="Q295">
        <v>247</v>
      </c>
      <c r="R295">
        <v>10</v>
      </c>
      <c r="S295" t="s">
        <v>2231</v>
      </c>
      <c r="T295" t="s">
        <v>2232</v>
      </c>
      <c r="U295" t="s">
        <v>25</v>
      </c>
      <c r="V295" t="s">
        <v>2233</v>
      </c>
      <c r="X295" t="s">
        <v>2235</v>
      </c>
      <c r="Y295" t="b">
        <f t="shared" si="4"/>
        <v>0</v>
      </c>
    </row>
    <row r="296" spans="1:25" hidden="1">
      <c r="A296" s="11" t="s">
        <v>9939</v>
      </c>
      <c r="B296" t="s">
        <v>16</v>
      </c>
      <c r="C296" s="2" t="s">
        <v>8338</v>
      </c>
      <c r="D296" t="s">
        <v>2237</v>
      </c>
      <c r="E296" t="s">
        <v>2236</v>
      </c>
      <c r="H296" t="s">
        <v>2243</v>
      </c>
      <c r="K296" t="s">
        <v>2238</v>
      </c>
      <c r="M296" t="str">
        <f>"00914150"</f>
        <v>00914150</v>
      </c>
      <c r="N296" s="2" t="str">
        <f>"20060101"</f>
        <v>20060101</v>
      </c>
      <c r="O296">
        <v>63</v>
      </c>
      <c r="P296">
        <v>3</v>
      </c>
      <c r="Q296">
        <v>173</v>
      </c>
      <c r="R296">
        <v>14</v>
      </c>
      <c r="S296" t="s">
        <v>2239</v>
      </c>
      <c r="T296" t="s">
        <v>2240</v>
      </c>
      <c r="U296" t="s">
        <v>2241</v>
      </c>
      <c r="V296" t="s">
        <v>2242</v>
      </c>
      <c r="X296" t="s">
        <v>2244</v>
      </c>
      <c r="Y296" t="b">
        <f t="shared" si="4"/>
        <v>1</v>
      </c>
    </row>
    <row r="297" spans="1:25" hidden="1">
      <c r="A297" s="11" t="s">
        <v>9939</v>
      </c>
      <c r="B297" t="s">
        <v>16</v>
      </c>
      <c r="C297" s="2" t="s">
        <v>8339</v>
      </c>
      <c r="D297" t="s">
        <v>2246</v>
      </c>
      <c r="E297" t="s">
        <v>2245</v>
      </c>
      <c r="F297">
        <v>0</v>
      </c>
      <c r="G297" t="s">
        <v>9178</v>
      </c>
      <c r="H297" t="s">
        <v>2250</v>
      </c>
      <c r="K297" t="s">
        <v>40</v>
      </c>
      <c r="M297" t="str">
        <f>"15571912"</f>
        <v>15571912</v>
      </c>
      <c r="N297" s="2" t="str">
        <f>"20150201"</f>
        <v>20150201</v>
      </c>
      <c r="O297">
        <v>17</v>
      </c>
      <c r="P297">
        <v>1</v>
      </c>
      <c r="Q297">
        <v>47</v>
      </c>
      <c r="R297">
        <v>9</v>
      </c>
      <c r="S297" t="s">
        <v>2247</v>
      </c>
      <c r="T297" t="s">
        <v>2248</v>
      </c>
      <c r="U297" t="s">
        <v>42</v>
      </c>
      <c r="V297" t="s">
        <v>2249</v>
      </c>
      <c r="X297" t="s">
        <v>2251</v>
      </c>
      <c r="Y297" t="b">
        <f t="shared" si="4"/>
        <v>0</v>
      </c>
    </row>
    <row r="298" spans="1:25">
      <c r="A298" s="11" t="s">
        <v>9939</v>
      </c>
      <c r="B298" t="s">
        <v>16</v>
      </c>
      <c r="C298" s="2" t="s">
        <v>8341</v>
      </c>
      <c r="D298" t="s">
        <v>2253</v>
      </c>
      <c r="E298" t="s">
        <v>2252</v>
      </c>
      <c r="F298">
        <v>1</v>
      </c>
      <c r="H298" t="s">
        <v>2258</v>
      </c>
      <c r="I298">
        <v>0</v>
      </c>
      <c r="J298" t="s">
        <v>9178</v>
      </c>
      <c r="K298" t="s">
        <v>2254</v>
      </c>
      <c r="M298" t="str">
        <f>"13811118"</f>
        <v>13811118</v>
      </c>
      <c r="N298" s="2" t="str">
        <f>"20090701"</f>
        <v>20090701</v>
      </c>
      <c r="O298">
        <v>13</v>
      </c>
      <c r="P298">
        <v>3</v>
      </c>
      <c r="Q298">
        <v>277</v>
      </c>
      <c r="R298">
        <v>14</v>
      </c>
      <c r="S298" t="s">
        <v>2255</v>
      </c>
      <c r="T298" t="s">
        <v>2256</v>
      </c>
      <c r="U298" t="s">
        <v>87</v>
      </c>
      <c r="V298" t="s">
        <v>2257</v>
      </c>
      <c r="X298" t="s">
        <v>2259</v>
      </c>
      <c r="Y298" t="b">
        <f t="shared" si="4"/>
        <v>0</v>
      </c>
    </row>
    <row r="299" spans="1:25" hidden="1">
      <c r="A299" s="11" t="s">
        <v>9939</v>
      </c>
      <c r="B299" t="s">
        <v>16</v>
      </c>
      <c r="C299" s="2" t="s">
        <v>8346</v>
      </c>
      <c r="D299" t="s">
        <v>2261</v>
      </c>
      <c r="E299" t="s">
        <v>2260</v>
      </c>
      <c r="H299" t="s">
        <v>2265</v>
      </c>
      <c r="K299" t="s">
        <v>40</v>
      </c>
      <c r="M299" t="str">
        <f>"15571912"</f>
        <v>15571912</v>
      </c>
      <c r="N299" s="2" t="str">
        <f>"20110201"</f>
        <v>20110201</v>
      </c>
      <c r="O299">
        <v>13</v>
      </c>
      <c r="P299">
        <v>1</v>
      </c>
      <c r="Q299">
        <v>111</v>
      </c>
      <c r="R299">
        <v>8</v>
      </c>
      <c r="S299" t="s">
        <v>2262</v>
      </c>
      <c r="T299" t="s">
        <v>2263</v>
      </c>
      <c r="U299" t="s">
        <v>42</v>
      </c>
      <c r="V299" t="s">
        <v>2264</v>
      </c>
      <c r="X299" t="s">
        <v>2266</v>
      </c>
      <c r="Y299" t="b">
        <f t="shared" si="4"/>
        <v>1</v>
      </c>
    </row>
    <row r="300" spans="1:25">
      <c r="A300" s="11" t="s">
        <v>9939</v>
      </c>
      <c r="B300" t="s">
        <v>16</v>
      </c>
      <c r="C300" s="2" t="s">
        <v>8338</v>
      </c>
      <c r="D300" t="s">
        <v>2268</v>
      </c>
      <c r="E300" t="s">
        <v>2267</v>
      </c>
      <c r="F300">
        <v>1</v>
      </c>
      <c r="H300" t="s">
        <v>2272</v>
      </c>
      <c r="I300">
        <v>0</v>
      </c>
      <c r="J300" t="s">
        <v>9245</v>
      </c>
      <c r="K300" t="s">
        <v>93</v>
      </c>
      <c r="M300" t="str">
        <f>"00207640"</f>
        <v>00207640</v>
      </c>
      <c r="N300" s="2" t="str">
        <f>"20060701"</f>
        <v>20060701</v>
      </c>
      <c r="O300">
        <v>52</v>
      </c>
      <c r="P300">
        <v>4</v>
      </c>
      <c r="Q300">
        <v>343</v>
      </c>
      <c r="R300">
        <v>17</v>
      </c>
      <c r="S300" t="s">
        <v>2269</v>
      </c>
      <c r="T300" t="s">
        <v>2270</v>
      </c>
      <c r="U300" t="s">
        <v>15</v>
      </c>
      <c r="V300" t="s">
        <v>2271</v>
      </c>
      <c r="X300" t="s">
        <v>2273</v>
      </c>
      <c r="Y300" t="b">
        <f t="shared" si="4"/>
        <v>0</v>
      </c>
    </row>
    <row r="301" spans="1:25" hidden="1">
      <c r="A301" s="11" t="s">
        <v>9939</v>
      </c>
      <c r="B301" t="s">
        <v>16</v>
      </c>
      <c r="C301" s="2" t="s">
        <v>8340</v>
      </c>
      <c r="D301" t="s">
        <v>2275</v>
      </c>
      <c r="E301" t="s">
        <v>2274</v>
      </c>
      <c r="F301">
        <v>0</v>
      </c>
      <c r="G301" t="s">
        <v>9249</v>
      </c>
      <c r="H301" t="s">
        <v>2281</v>
      </c>
      <c r="K301" t="s">
        <v>2276</v>
      </c>
      <c r="M301" t="str">
        <f>"00278424"</f>
        <v>00278424</v>
      </c>
      <c r="N301" s="2" t="str">
        <f>"20180710"</f>
        <v>20180710</v>
      </c>
      <c r="O301">
        <v>115</v>
      </c>
      <c r="P301">
        <v>28</v>
      </c>
      <c r="Q301">
        <v>7284</v>
      </c>
      <c r="R301">
        <v>6</v>
      </c>
      <c r="S301" t="s">
        <v>2277</v>
      </c>
      <c r="T301" t="s">
        <v>2278</v>
      </c>
      <c r="U301" t="s">
        <v>2279</v>
      </c>
      <c r="V301" t="s">
        <v>2280</v>
      </c>
      <c r="X301" t="s">
        <v>2282</v>
      </c>
      <c r="Y301" t="b">
        <f t="shared" si="4"/>
        <v>0</v>
      </c>
    </row>
    <row r="302" spans="1:25" hidden="1">
      <c r="A302" s="11" t="s">
        <v>9939</v>
      </c>
      <c r="B302" t="s">
        <v>16</v>
      </c>
      <c r="C302" s="2" t="s">
        <v>8343</v>
      </c>
      <c r="D302" t="s">
        <v>2284</v>
      </c>
      <c r="E302" t="s">
        <v>2283</v>
      </c>
      <c r="H302" t="s">
        <v>2288</v>
      </c>
      <c r="K302" t="s">
        <v>1073</v>
      </c>
      <c r="M302" t="str">
        <f>"13634615"</f>
        <v>13634615</v>
      </c>
      <c r="N302" s="2" t="str">
        <f>"20171201"</f>
        <v>20171201</v>
      </c>
      <c r="O302">
        <v>54</v>
      </c>
      <c r="P302" s="1">
        <v>44352</v>
      </c>
      <c r="Q302" s="1">
        <v>715</v>
      </c>
      <c r="R302">
        <v>18</v>
      </c>
      <c r="S302" t="s">
        <v>2285</v>
      </c>
      <c r="T302" t="s">
        <v>2286</v>
      </c>
      <c r="U302" t="s">
        <v>15</v>
      </c>
      <c r="V302" t="s">
        <v>2287</v>
      </c>
      <c r="X302" t="s">
        <v>2289</v>
      </c>
      <c r="Y302" t="b">
        <f t="shared" si="4"/>
        <v>1</v>
      </c>
    </row>
    <row r="303" spans="1:25" hidden="1">
      <c r="A303" s="11" t="s">
        <v>9939</v>
      </c>
      <c r="B303" t="s">
        <v>16</v>
      </c>
      <c r="C303" s="2" t="s">
        <v>8340</v>
      </c>
      <c r="D303" t="s">
        <v>2291</v>
      </c>
      <c r="E303" t="s">
        <v>2290</v>
      </c>
      <c r="F303">
        <v>0</v>
      </c>
      <c r="G303" t="s">
        <v>9178</v>
      </c>
      <c r="H303" t="s">
        <v>2296</v>
      </c>
      <c r="K303" t="s">
        <v>2292</v>
      </c>
      <c r="M303" t="str">
        <f>"00147370"</f>
        <v>00147370</v>
      </c>
      <c r="N303" s="2" t="str">
        <f>"20181201"</f>
        <v>20181201</v>
      </c>
      <c r="O303">
        <v>57</v>
      </c>
      <c r="P303">
        <v>4</v>
      </c>
      <c r="Q303">
        <v>996</v>
      </c>
      <c r="R303">
        <v>16</v>
      </c>
      <c r="S303" t="s">
        <v>2293</v>
      </c>
      <c r="T303" t="s">
        <v>2294</v>
      </c>
      <c r="U303" t="s">
        <v>730</v>
      </c>
      <c r="V303" t="s">
        <v>2295</v>
      </c>
      <c r="X303" t="s">
        <v>2297</v>
      </c>
      <c r="Y303" t="b">
        <f t="shared" si="4"/>
        <v>0</v>
      </c>
    </row>
    <row r="304" spans="1:25" hidden="1">
      <c r="A304" s="11" t="s">
        <v>9939</v>
      </c>
      <c r="B304" t="s">
        <v>16</v>
      </c>
      <c r="C304" s="2" t="s">
        <v>8346</v>
      </c>
      <c r="D304" t="s">
        <v>2299</v>
      </c>
      <c r="E304" t="s">
        <v>2298</v>
      </c>
      <c r="H304" t="s">
        <v>2303</v>
      </c>
      <c r="K304" t="s">
        <v>221</v>
      </c>
      <c r="M304" t="str">
        <f>"00904392"</f>
        <v>00904392</v>
      </c>
      <c r="N304" s="2" t="str">
        <f>"20110901"</f>
        <v>20110901</v>
      </c>
      <c r="O304">
        <v>39</v>
      </c>
      <c r="P304">
        <v>7</v>
      </c>
      <c r="Q304">
        <v>761</v>
      </c>
      <c r="R304">
        <v>15</v>
      </c>
      <c r="S304" t="s">
        <v>2300</v>
      </c>
      <c r="T304" t="s">
        <v>2301</v>
      </c>
      <c r="U304" t="s">
        <v>224</v>
      </c>
      <c r="V304" t="s">
        <v>2302</v>
      </c>
      <c r="X304" t="s">
        <v>2304</v>
      </c>
      <c r="Y304" t="b">
        <f t="shared" si="4"/>
        <v>1</v>
      </c>
    </row>
    <row r="305" spans="1:25" hidden="1">
      <c r="A305" s="11" t="s">
        <v>9939</v>
      </c>
      <c r="B305" t="s">
        <v>69</v>
      </c>
      <c r="C305" s="2" t="s">
        <v>8339</v>
      </c>
      <c r="D305" t="s">
        <v>2306</v>
      </c>
      <c r="E305" t="s">
        <v>2305</v>
      </c>
      <c r="F305">
        <v>0</v>
      </c>
      <c r="G305" t="s">
        <v>9178</v>
      </c>
      <c r="H305" t="s">
        <v>2310</v>
      </c>
      <c r="K305" t="s">
        <v>65</v>
      </c>
      <c r="L305" t="str">
        <f>"9781303858062"</f>
        <v>9781303858062</v>
      </c>
      <c r="M305" t="str">
        <f>"04194209"</f>
        <v>04194209</v>
      </c>
      <c r="N305" s="2" t="str">
        <f>"20150101"</f>
        <v>20150101</v>
      </c>
      <c r="O305">
        <v>75</v>
      </c>
      <c r="P305" t="s">
        <v>2307</v>
      </c>
      <c r="S305" t="s">
        <v>2308</v>
      </c>
      <c r="U305" t="s">
        <v>68</v>
      </c>
      <c r="V305" t="s">
        <v>2309</v>
      </c>
      <c r="X305" t="s">
        <v>2311</v>
      </c>
      <c r="Y305" t="b">
        <f t="shared" si="4"/>
        <v>0</v>
      </c>
    </row>
    <row r="306" spans="1:25" hidden="1">
      <c r="A306" s="11" t="s">
        <v>9939</v>
      </c>
      <c r="B306" t="s">
        <v>16</v>
      </c>
      <c r="C306" s="2" t="s">
        <v>8346</v>
      </c>
      <c r="D306" t="s">
        <v>2313</v>
      </c>
      <c r="E306" t="s">
        <v>2312</v>
      </c>
      <c r="H306" t="s">
        <v>2317</v>
      </c>
      <c r="K306" t="s">
        <v>132</v>
      </c>
      <c r="M306" t="str">
        <f>"01471767"</f>
        <v>01471767</v>
      </c>
      <c r="N306" s="2" t="str">
        <f>"20110301"</f>
        <v>20110301</v>
      </c>
      <c r="O306">
        <v>35</v>
      </c>
      <c r="P306">
        <v>2</v>
      </c>
      <c r="Q306">
        <v>205</v>
      </c>
      <c r="R306">
        <v>8</v>
      </c>
      <c r="S306" t="s">
        <v>2314</v>
      </c>
      <c r="T306" t="s">
        <v>2315</v>
      </c>
      <c r="U306" t="s">
        <v>34</v>
      </c>
      <c r="V306" t="s">
        <v>2316</v>
      </c>
      <c r="X306" t="s">
        <v>2318</v>
      </c>
      <c r="Y306" t="b">
        <f t="shared" si="4"/>
        <v>1</v>
      </c>
    </row>
    <row r="307" spans="1:25">
      <c r="A307" s="11" t="s">
        <v>9939</v>
      </c>
      <c r="B307" t="s">
        <v>16</v>
      </c>
      <c r="C307" s="2" t="s">
        <v>8341</v>
      </c>
      <c r="D307" t="s">
        <v>2320</v>
      </c>
      <c r="E307" t="s">
        <v>2319</v>
      </c>
      <c r="F307">
        <v>1</v>
      </c>
      <c r="H307" t="s">
        <v>2324</v>
      </c>
      <c r="I307">
        <v>1</v>
      </c>
      <c r="K307" t="s">
        <v>132</v>
      </c>
      <c r="M307" t="str">
        <f>"01471767"</f>
        <v>01471767</v>
      </c>
      <c r="N307" s="2" t="str">
        <f>"20090701"</f>
        <v>20090701</v>
      </c>
      <c r="O307">
        <v>33</v>
      </c>
      <c r="P307">
        <v>4</v>
      </c>
      <c r="Q307">
        <v>313</v>
      </c>
      <c r="R307">
        <v>12</v>
      </c>
      <c r="S307" t="s">
        <v>2321</v>
      </c>
      <c r="T307" t="s">
        <v>2322</v>
      </c>
      <c r="U307" t="s">
        <v>34</v>
      </c>
      <c r="V307" t="s">
        <v>2323</v>
      </c>
      <c r="X307" t="s">
        <v>2325</v>
      </c>
      <c r="Y307" t="b">
        <f t="shared" si="4"/>
        <v>0</v>
      </c>
    </row>
    <row r="308" spans="1:25">
      <c r="A308" s="11" t="s">
        <v>9939</v>
      </c>
      <c r="B308" t="s">
        <v>16</v>
      </c>
      <c r="C308" s="2" t="s">
        <v>8334</v>
      </c>
      <c r="D308" t="s">
        <v>2327</v>
      </c>
      <c r="E308" t="s">
        <v>2326</v>
      </c>
      <c r="F308">
        <v>1</v>
      </c>
      <c r="H308" t="s">
        <v>2332</v>
      </c>
      <c r="I308">
        <v>1</v>
      </c>
      <c r="K308" t="s">
        <v>2328</v>
      </c>
      <c r="M308" t="str">
        <f>"03637751"</f>
        <v>03637751</v>
      </c>
      <c r="N308" s="2" t="str">
        <f>"20140401"</f>
        <v>20140401</v>
      </c>
      <c r="O308">
        <v>81</v>
      </c>
      <c r="P308">
        <v>2</v>
      </c>
      <c r="Q308">
        <v>133</v>
      </c>
      <c r="R308">
        <v>24</v>
      </c>
      <c r="S308" t="s">
        <v>2329</v>
      </c>
      <c r="T308" t="s">
        <v>2330</v>
      </c>
      <c r="U308" t="s">
        <v>87</v>
      </c>
      <c r="V308" t="s">
        <v>2331</v>
      </c>
      <c r="X308" t="s">
        <v>2333</v>
      </c>
      <c r="Y308" t="b">
        <f t="shared" si="4"/>
        <v>0</v>
      </c>
    </row>
    <row r="309" spans="1:25">
      <c r="A309" s="11" t="s">
        <v>9939</v>
      </c>
      <c r="B309" t="s">
        <v>16</v>
      </c>
      <c r="C309" s="2" t="s">
        <v>8345</v>
      </c>
      <c r="D309" t="s">
        <v>2335</v>
      </c>
      <c r="E309" t="s">
        <v>2334</v>
      </c>
      <c r="F309">
        <v>1</v>
      </c>
      <c r="H309" t="s">
        <v>2340</v>
      </c>
      <c r="I309">
        <v>0</v>
      </c>
      <c r="J309" t="s">
        <v>9178</v>
      </c>
      <c r="K309" t="s">
        <v>2336</v>
      </c>
      <c r="M309" t="str">
        <f>"10461310"</f>
        <v>10461310</v>
      </c>
      <c r="N309" s="2" t="str">
        <f>"20201001"</f>
        <v>20201001</v>
      </c>
      <c r="O309">
        <v>39</v>
      </c>
      <c r="P309">
        <v>5</v>
      </c>
      <c r="Q309">
        <v>1853</v>
      </c>
      <c r="R309">
        <v>10</v>
      </c>
      <c r="S309" t="s">
        <v>2337</v>
      </c>
      <c r="T309" t="s">
        <v>2338</v>
      </c>
      <c r="U309" t="s">
        <v>42</v>
      </c>
      <c r="V309" t="s">
        <v>2339</v>
      </c>
      <c r="X309" t="s">
        <v>2341</v>
      </c>
      <c r="Y309" t="b">
        <f t="shared" si="4"/>
        <v>0</v>
      </c>
    </row>
    <row r="310" spans="1:25" hidden="1">
      <c r="A310" s="11" t="s">
        <v>9939</v>
      </c>
      <c r="B310" t="s">
        <v>16</v>
      </c>
      <c r="C310" s="2" t="s">
        <v>8340</v>
      </c>
      <c r="D310" t="s">
        <v>2343</v>
      </c>
      <c r="E310" t="s">
        <v>2342</v>
      </c>
      <c r="F310">
        <v>0</v>
      </c>
      <c r="G310" t="s">
        <v>9237</v>
      </c>
      <c r="H310" t="s">
        <v>2347</v>
      </c>
      <c r="K310" t="s">
        <v>370</v>
      </c>
      <c r="M310" t="str">
        <f>"00207594"</f>
        <v>00207594</v>
      </c>
      <c r="N310" s="2" t="str">
        <f>"20180601"</f>
        <v>20180601</v>
      </c>
      <c r="O310">
        <v>53</v>
      </c>
      <c r="P310">
        <v>3</v>
      </c>
      <c r="Q310">
        <v>176</v>
      </c>
      <c r="R310">
        <v>8</v>
      </c>
      <c r="S310" t="s">
        <v>2344</v>
      </c>
      <c r="T310" t="s">
        <v>2345</v>
      </c>
      <c r="U310" t="s">
        <v>730</v>
      </c>
      <c r="V310" t="s">
        <v>2346</v>
      </c>
      <c r="X310" t="s">
        <v>2348</v>
      </c>
      <c r="Y310" t="b">
        <f t="shared" si="4"/>
        <v>0</v>
      </c>
    </row>
    <row r="311" spans="1:25" hidden="1">
      <c r="A311" s="11" t="s">
        <v>9939</v>
      </c>
      <c r="B311" t="s">
        <v>16</v>
      </c>
      <c r="C311" s="2" t="s">
        <v>8352</v>
      </c>
      <c r="D311" t="s">
        <v>2350</v>
      </c>
      <c r="E311" t="s">
        <v>2349</v>
      </c>
      <c r="H311" t="s">
        <v>2355</v>
      </c>
      <c r="K311" t="s">
        <v>2351</v>
      </c>
      <c r="M311" t="str">
        <f>"10403590"</f>
        <v>10403590</v>
      </c>
      <c r="N311" s="2" t="str">
        <f>"20030901"</f>
        <v>20030901</v>
      </c>
      <c r="O311">
        <v>15</v>
      </c>
      <c r="P311">
        <v>3</v>
      </c>
      <c r="Q311">
        <v>370</v>
      </c>
      <c r="R311">
        <v>8</v>
      </c>
      <c r="S311" t="s">
        <v>2352</v>
      </c>
      <c r="T311" t="s">
        <v>2353</v>
      </c>
      <c r="U311" t="s">
        <v>59</v>
      </c>
      <c r="V311" t="s">
        <v>2354</v>
      </c>
      <c r="X311" t="s">
        <v>2356</v>
      </c>
      <c r="Y311" t="b">
        <f t="shared" si="4"/>
        <v>1</v>
      </c>
    </row>
    <row r="312" spans="1:25">
      <c r="A312" s="11" t="s">
        <v>9939</v>
      </c>
      <c r="B312" t="s">
        <v>69</v>
      </c>
      <c r="C312" s="2" t="s">
        <v>8341</v>
      </c>
      <c r="D312" t="s">
        <v>2358</v>
      </c>
      <c r="E312" t="s">
        <v>2357</v>
      </c>
      <c r="F312">
        <v>1</v>
      </c>
      <c r="H312" t="s">
        <v>2361</v>
      </c>
      <c r="I312">
        <v>1</v>
      </c>
      <c r="K312" t="s">
        <v>65</v>
      </c>
      <c r="L312" t="str">
        <f>"9780549855613"</f>
        <v>9780549855613</v>
      </c>
      <c r="M312" t="str">
        <f>"04194209"</f>
        <v>04194209</v>
      </c>
      <c r="N312" s="2" t="str">
        <f>"20090101"</f>
        <v>20090101</v>
      </c>
      <c r="O312">
        <v>69</v>
      </c>
      <c r="P312" t="s">
        <v>627</v>
      </c>
      <c r="Q312">
        <v>4010</v>
      </c>
      <c r="R312">
        <v>1</v>
      </c>
      <c r="S312" t="s">
        <v>2359</v>
      </c>
      <c r="U312" t="s">
        <v>68</v>
      </c>
      <c r="V312" t="s">
        <v>2360</v>
      </c>
      <c r="X312" t="s">
        <v>2362</v>
      </c>
      <c r="Y312" t="b">
        <f t="shared" si="4"/>
        <v>0</v>
      </c>
    </row>
    <row r="313" spans="1:25" hidden="1">
      <c r="A313" s="11" t="s">
        <v>9939</v>
      </c>
      <c r="B313" t="s">
        <v>16</v>
      </c>
      <c r="C313" s="2" t="s">
        <v>8336</v>
      </c>
      <c r="D313" t="s">
        <v>2364</v>
      </c>
      <c r="E313" t="s">
        <v>2363</v>
      </c>
      <c r="H313" t="s">
        <v>2368</v>
      </c>
      <c r="K313" t="s">
        <v>1180</v>
      </c>
      <c r="M313" t="str">
        <f>"15313204"</f>
        <v>15313204</v>
      </c>
      <c r="N313" s="2" t="str">
        <f>"20070101"</f>
        <v>20070101</v>
      </c>
      <c r="O313">
        <v>15</v>
      </c>
      <c r="P313" s="1">
        <v>44289</v>
      </c>
      <c r="Q313" s="1">
        <v>129</v>
      </c>
      <c r="R313">
        <v>23</v>
      </c>
      <c r="S313" t="s">
        <v>2365</v>
      </c>
      <c r="T313" t="s">
        <v>2366</v>
      </c>
      <c r="U313" t="s">
        <v>420</v>
      </c>
      <c r="V313" t="s">
        <v>2367</v>
      </c>
      <c r="X313" t="s">
        <v>2369</v>
      </c>
      <c r="Y313" t="b">
        <f t="shared" si="4"/>
        <v>1</v>
      </c>
    </row>
    <row r="314" spans="1:25">
      <c r="A314" s="11" t="s">
        <v>9939</v>
      </c>
      <c r="B314" t="s">
        <v>16</v>
      </c>
      <c r="C314" s="2" t="s">
        <v>8346</v>
      </c>
      <c r="D314" t="s">
        <v>2371</v>
      </c>
      <c r="E314" t="s">
        <v>2370</v>
      </c>
      <c r="F314">
        <v>1</v>
      </c>
      <c r="H314" t="s">
        <v>2375</v>
      </c>
      <c r="I314">
        <v>0</v>
      </c>
      <c r="J314" t="s">
        <v>9178</v>
      </c>
      <c r="K314" t="s">
        <v>370</v>
      </c>
      <c r="M314" t="str">
        <f>"00207594"</f>
        <v>00207594</v>
      </c>
      <c r="N314" s="2" t="str">
        <f>"20110401"</f>
        <v>20110401</v>
      </c>
      <c r="O314">
        <v>46</v>
      </c>
      <c r="P314">
        <v>2</v>
      </c>
      <c r="Q314">
        <v>136</v>
      </c>
      <c r="R314">
        <v>8</v>
      </c>
      <c r="S314" t="s">
        <v>2372</v>
      </c>
      <c r="T314" t="s">
        <v>2373</v>
      </c>
      <c r="U314" t="s">
        <v>87</v>
      </c>
      <c r="V314" t="s">
        <v>2374</v>
      </c>
      <c r="X314" t="s">
        <v>2376</v>
      </c>
      <c r="Y314" t="b">
        <f t="shared" si="4"/>
        <v>0</v>
      </c>
    </row>
    <row r="315" spans="1:25">
      <c r="A315" s="11" t="s">
        <v>9939</v>
      </c>
      <c r="B315" t="s">
        <v>16</v>
      </c>
      <c r="C315" s="2" t="s">
        <v>8353</v>
      </c>
      <c r="D315" t="s">
        <v>2378</v>
      </c>
      <c r="E315" t="s">
        <v>2377</v>
      </c>
      <c r="F315">
        <v>1</v>
      </c>
      <c r="H315" t="s">
        <v>2383</v>
      </c>
      <c r="I315">
        <v>1</v>
      </c>
      <c r="K315" t="s">
        <v>2379</v>
      </c>
      <c r="M315" t="str">
        <f>"00093920"</f>
        <v>00093920</v>
      </c>
      <c r="N315" s="2" t="str">
        <f>"20160701"</f>
        <v>20160701</v>
      </c>
      <c r="O315">
        <v>87</v>
      </c>
      <c r="P315">
        <v>4</v>
      </c>
      <c r="Q315">
        <v>1175</v>
      </c>
      <c r="R315">
        <v>17</v>
      </c>
      <c r="S315" t="s">
        <v>2380</v>
      </c>
      <c r="T315" t="s">
        <v>2381</v>
      </c>
      <c r="U315" t="s">
        <v>730</v>
      </c>
      <c r="V315" t="s">
        <v>2382</v>
      </c>
      <c r="X315" t="s">
        <v>2384</v>
      </c>
      <c r="Y315" t="b">
        <f t="shared" si="4"/>
        <v>0</v>
      </c>
    </row>
    <row r="316" spans="1:25" hidden="1">
      <c r="A316" s="11" t="s">
        <v>9939</v>
      </c>
      <c r="B316" t="s">
        <v>16</v>
      </c>
      <c r="C316" s="2" t="s">
        <v>8336</v>
      </c>
      <c r="D316" t="s">
        <v>2386</v>
      </c>
      <c r="E316" t="s">
        <v>2385</v>
      </c>
      <c r="F316">
        <v>0</v>
      </c>
      <c r="G316" t="s">
        <v>9249</v>
      </c>
      <c r="H316" t="s">
        <v>2391</v>
      </c>
      <c r="K316" t="s">
        <v>2387</v>
      </c>
      <c r="M316" t="str">
        <f>"09585192"</f>
        <v>09585192</v>
      </c>
      <c r="N316" s="2" t="str">
        <f>"20070201"</f>
        <v>20070201</v>
      </c>
      <c r="O316">
        <v>18</v>
      </c>
      <c r="P316">
        <v>2</v>
      </c>
      <c r="Q316">
        <v>333</v>
      </c>
      <c r="R316">
        <v>17</v>
      </c>
      <c r="S316" t="s">
        <v>2388</v>
      </c>
      <c r="T316" t="s">
        <v>2389</v>
      </c>
      <c r="U316" t="s">
        <v>87</v>
      </c>
      <c r="V316" t="s">
        <v>2390</v>
      </c>
      <c r="X316" t="s">
        <v>2392</v>
      </c>
      <c r="Y316" t="b">
        <f t="shared" si="4"/>
        <v>0</v>
      </c>
    </row>
    <row r="317" spans="1:25" hidden="1">
      <c r="A317" s="11" t="s">
        <v>9939</v>
      </c>
      <c r="B317" t="s">
        <v>16</v>
      </c>
      <c r="C317" s="2" t="s">
        <v>8335</v>
      </c>
      <c r="D317" t="s">
        <v>2394</v>
      </c>
      <c r="E317" t="s">
        <v>2393</v>
      </c>
      <c r="H317" t="s">
        <v>2398</v>
      </c>
      <c r="K317" t="s">
        <v>132</v>
      </c>
      <c r="M317" t="str">
        <f>"01471767"</f>
        <v>01471767</v>
      </c>
      <c r="N317" s="2" t="str">
        <f>"20041101"</f>
        <v>20041101</v>
      </c>
      <c r="O317">
        <v>28</v>
      </c>
      <c r="P317">
        <v>6</v>
      </c>
      <c r="Q317">
        <v>461</v>
      </c>
      <c r="R317">
        <v>19</v>
      </c>
      <c r="S317" t="s">
        <v>2395</v>
      </c>
      <c r="T317" t="s">
        <v>2396</v>
      </c>
      <c r="U317" t="s">
        <v>34</v>
      </c>
      <c r="V317" t="s">
        <v>2397</v>
      </c>
      <c r="X317" t="s">
        <v>2399</v>
      </c>
      <c r="Y317" t="b">
        <f t="shared" si="4"/>
        <v>1</v>
      </c>
    </row>
    <row r="318" spans="1:25">
      <c r="A318" s="11" t="s">
        <v>9939</v>
      </c>
      <c r="B318" t="s">
        <v>16</v>
      </c>
      <c r="C318" s="2" t="s">
        <v>8353</v>
      </c>
      <c r="D318" t="s">
        <v>2401</v>
      </c>
      <c r="E318" t="s">
        <v>2400</v>
      </c>
      <c r="F318">
        <v>1</v>
      </c>
      <c r="H318" t="s">
        <v>2406</v>
      </c>
      <c r="I318">
        <v>1</v>
      </c>
      <c r="K318" t="s">
        <v>2402</v>
      </c>
      <c r="M318" t="str">
        <f>"00027642"</f>
        <v>00027642</v>
      </c>
      <c r="N318" s="2" t="str">
        <f>"20160501"</f>
        <v>20160501</v>
      </c>
      <c r="O318">
        <v>60</v>
      </c>
      <c r="P318" s="1">
        <v>44352</v>
      </c>
      <c r="Q318" s="1">
        <v>730</v>
      </c>
      <c r="R318">
        <v>20</v>
      </c>
      <c r="S318" t="s">
        <v>2403</v>
      </c>
      <c r="T318" t="s">
        <v>2404</v>
      </c>
      <c r="U318" t="s">
        <v>15</v>
      </c>
      <c r="V318" t="s">
        <v>2405</v>
      </c>
      <c r="X318" t="s">
        <v>2407</v>
      </c>
      <c r="Y318" t="b">
        <f t="shared" si="4"/>
        <v>0</v>
      </c>
    </row>
    <row r="319" spans="1:25" hidden="1">
      <c r="A319" s="11" t="s">
        <v>9939</v>
      </c>
      <c r="B319" t="s">
        <v>16</v>
      </c>
      <c r="C319" s="2" t="s">
        <v>8349</v>
      </c>
      <c r="D319" t="s">
        <v>2409</v>
      </c>
      <c r="E319" t="s">
        <v>2408</v>
      </c>
      <c r="H319" t="s">
        <v>2413</v>
      </c>
      <c r="K319" t="s">
        <v>22</v>
      </c>
      <c r="M319" t="str">
        <f>"00223018"</f>
        <v>00223018</v>
      </c>
      <c r="N319" s="2" t="str">
        <f>"20190301"</f>
        <v>20190301</v>
      </c>
      <c r="O319">
        <v>207</v>
      </c>
      <c r="P319">
        <v>3</v>
      </c>
      <c r="Q319">
        <v>162</v>
      </c>
      <c r="R319">
        <v>9</v>
      </c>
      <c r="S319" t="s">
        <v>2410</v>
      </c>
      <c r="T319" t="s">
        <v>2411</v>
      </c>
      <c r="U319" t="s">
        <v>25</v>
      </c>
      <c r="V319" t="s">
        <v>2412</v>
      </c>
      <c r="X319" t="s">
        <v>2414</v>
      </c>
      <c r="Y319" t="b">
        <f t="shared" si="4"/>
        <v>1</v>
      </c>
    </row>
    <row r="320" spans="1:25">
      <c r="A320" s="11" t="s">
        <v>9939</v>
      </c>
      <c r="B320" t="s">
        <v>16</v>
      </c>
      <c r="C320" s="2" t="s">
        <v>8349</v>
      </c>
      <c r="D320" t="s">
        <v>2416</v>
      </c>
      <c r="E320" t="s">
        <v>2415</v>
      </c>
      <c r="F320">
        <v>1</v>
      </c>
      <c r="H320" t="s">
        <v>2420</v>
      </c>
      <c r="I320">
        <v>1</v>
      </c>
      <c r="K320" t="s">
        <v>40</v>
      </c>
      <c r="M320" t="str">
        <f>"15571912"</f>
        <v>15571912</v>
      </c>
      <c r="N320" s="2" t="str">
        <f>"20190801"</f>
        <v>20190801</v>
      </c>
      <c r="O320">
        <v>21</v>
      </c>
      <c r="P320">
        <v>4</v>
      </c>
      <c r="Q320">
        <v>767</v>
      </c>
      <c r="R320">
        <v>11</v>
      </c>
      <c r="S320" t="s">
        <v>2417</v>
      </c>
      <c r="T320" t="s">
        <v>2418</v>
      </c>
      <c r="U320" t="s">
        <v>42</v>
      </c>
      <c r="V320" t="s">
        <v>2419</v>
      </c>
      <c r="X320" t="s">
        <v>2421</v>
      </c>
      <c r="Y320" t="b">
        <f t="shared" si="4"/>
        <v>0</v>
      </c>
    </row>
    <row r="321" spans="1:25">
      <c r="A321" s="11" t="s">
        <v>9939</v>
      </c>
      <c r="B321" t="s">
        <v>16</v>
      </c>
      <c r="C321" s="2" t="s">
        <v>8342</v>
      </c>
      <c r="D321" t="s">
        <v>2423</v>
      </c>
      <c r="E321" t="s">
        <v>2422</v>
      </c>
      <c r="F321">
        <v>1</v>
      </c>
      <c r="H321" t="s">
        <v>2427</v>
      </c>
      <c r="I321">
        <v>1</v>
      </c>
      <c r="K321" t="s">
        <v>132</v>
      </c>
      <c r="M321" t="str">
        <f>"01471767"</f>
        <v>01471767</v>
      </c>
      <c r="N321" s="2" t="str">
        <f>"20120701"</f>
        <v>20120701</v>
      </c>
      <c r="O321">
        <v>36</v>
      </c>
      <c r="P321">
        <v>4</v>
      </c>
      <c r="Q321">
        <v>486</v>
      </c>
      <c r="R321">
        <v>12</v>
      </c>
      <c r="S321" t="s">
        <v>2424</v>
      </c>
      <c r="T321" t="s">
        <v>2425</v>
      </c>
      <c r="U321" t="s">
        <v>34</v>
      </c>
      <c r="V321" t="s">
        <v>2426</v>
      </c>
      <c r="X321" t="s">
        <v>2428</v>
      </c>
      <c r="Y321" t="b">
        <f t="shared" si="4"/>
        <v>0</v>
      </c>
    </row>
    <row r="322" spans="1:25" hidden="1">
      <c r="A322" s="11" t="s">
        <v>9939</v>
      </c>
      <c r="B322" t="s">
        <v>16</v>
      </c>
      <c r="C322" s="2" t="s">
        <v>8338</v>
      </c>
      <c r="D322" t="s">
        <v>2430</v>
      </c>
      <c r="E322" t="s">
        <v>2429</v>
      </c>
      <c r="F322">
        <v>0</v>
      </c>
      <c r="G322" t="s">
        <v>9249</v>
      </c>
      <c r="H322" t="s">
        <v>2434</v>
      </c>
      <c r="K322" t="s">
        <v>132</v>
      </c>
      <c r="M322" t="str">
        <f>"01471767"</f>
        <v>01471767</v>
      </c>
      <c r="N322" s="2" t="str">
        <f>"20061101"</f>
        <v>20061101</v>
      </c>
      <c r="O322">
        <v>30</v>
      </c>
      <c r="P322">
        <v>6</v>
      </c>
      <c r="Q322">
        <v>799</v>
      </c>
      <c r="R322">
        <v>12</v>
      </c>
      <c r="S322" t="s">
        <v>2431</v>
      </c>
      <c r="T322" t="s">
        <v>2432</v>
      </c>
      <c r="U322" t="s">
        <v>34</v>
      </c>
      <c r="V322" t="s">
        <v>2433</v>
      </c>
      <c r="X322" t="s">
        <v>2435</v>
      </c>
      <c r="Y322" t="b">
        <f t="shared" ref="Y322:Y385" si="5">COUNTIF(X:X, X322)&gt;1</f>
        <v>0</v>
      </c>
    </row>
    <row r="323" spans="1:25" hidden="1">
      <c r="A323" s="11" t="s">
        <v>9939</v>
      </c>
      <c r="B323" t="s">
        <v>16</v>
      </c>
      <c r="C323" s="2" t="s">
        <v>8337</v>
      </c>
      <c r="D323" t="s">
        <v>2437</v>
      </c>
      <c r="E323" t="s">
        <v>2436</v>
      </c>
      <c r="H323" t="s">
        <v>2441</v>
      </c>
      <c r="K323" t="s">
        <v>252</v>
      </c>
      <c r="M323" t="str">
        <f>"00220221"</f>
        <v>00220221</v>
      </c>
      <c r="N323" s="2" t="str">
        <f>"20130201"</f>
        <v>20130201</v>
      </c>
      <c r="O323">
        <v>44</v>
      </c>
      <c r="P323">
        <v>2</v>
      </c>
      <c r="Q323">
        <v>245</v>
      </c>
      <c r="R323">
        <v>18</v>
      </c>
      <c r="S323" t="s">
        <v>2438</v>
      </c>
      <c r="T323" t="s">
        <v>2439</v>
      </c>
      <c r="U323" t="s">
        <v>15</v>
      </c>
      <c r="V323" t="s">
        <v>2440</v>
      </c>
      <c r="X323" t="s">
        <v>2442</v>
      </c>
      <c r="Y323" t="b">
        <f t="shared" si="5"/>
        <v>1</v>
      </c>
    </row>
    <row r="324" spans="1:25" hidden="1">
      <c r="A324" s="11" t="s">
        <v>9939</v>
      </c>
      <c r="B324" t="s">
        <v>16</v>
      </c>
      <c r="C324" s="2" t="s">
        <v>8342</v>
      </c>
      <c r="D324" t="s">
        <v>2444</v>
      </c>
      <c r="E324" t="s">
        <v>2443</v>
      </c>
      <c r="H324" t="s">
        <v>2448</v>
      </c>
      <c r="K324" t="s">
        <v>1168</v>
      </c>
      <c r="M324" t="str">
        <f>"19481985"</f>
        <v>19481985</v>
      </c>
      <c r="N324" s="2" t="str">
        <f>"20121201"</f>
        <v>20121201</v>
      </c>
      <c r="O324">
        <v>3</v>
      </c>
      <c r="P324">
        <v>4</v>
      </c>
      <c r="Q324">
        <v>230</v>
      </c>
      <c r="R324">
        <v>24</v>
      </c>
      <c r="S324" t="s">
        <v>2445</v>
      </c>
      <c r="T324" t="s">
        <v>2446</v>
      </c>
      <c r="U324" t="s">
        <v>183</v>
      </c>
      <c r="V324" t="s">
        <v>2447</v>
      </c>
      <c r="X324" t="s">
        <v>2449</v>
      </c>
      <c r="Y324" t="b">
        <f t="shared" si="5"/>
        <v>1</v>
      </c>
    </row>
    <row r="325" spans="1:25">
      <c r="A325" s="11" t="s">
        <v>9939</v>
      </c>
      <c r="B325" t="s">
        <v>16</v>
      </c>
      <c r="C325" s="2" t="s">
        <v>8341</v>
      </c>
      <c r="D325" t="s">
        <v>2451</v>
      </c>
      <c r="E325" t="s">
        <v>2450</v>
      </c>
      <c r="F325">
        <v>1</v>
      </c>
      <c r="H325" t="s">
        <v>2456</v>
      </c>
      <c r="I325">
        <v>1</v>
      </c>
      <c r="J325" t="s">
        <v>9952</v>
      </c>
      <c r="K325" t="s">
        <v>2452</v>
      </c>
      <c r="M325" t="str">
        <f>"15374416"</f>
        <v>15374416</v>
      </c>
      <c r="N325" s="2" t="str">
        <f>"20090301"</f>
        <v>20090301</v>
      </c>
      <c r="O325">
        <v>38</v>
      </c>
      <c r="P325">
        <v>2</v>
      </c>
      <c r="Q325">
        <v>273</v>
      </c>
      <c r="R325">
        <v>13</v>
      </c>
      <c r="S325" t="s">
        <v>2453</v>
      </c>
      <c r="T325" t="s">
        <v>2454</v>
      </c>
      <c r="U325" t="s">
        <v>87</v>
      </c>
      <c r="V325" t="s">
        <v>2455</v>
      </c>
      <c r="X325" t="s">
        <v>2457</v>
      </c>
      <c r="Y325" t="b">
        <f t="shared" si="5"/>
        <v>0</v>
      </c>
    </row>
    <row r="326" spans="1:25" hidden="1">
      <c r="A326" s="11" t="s">
        <v>9939</v>
      </c>
      <c r="B326" t="s">
        <v>16</v>
      </c>
      <c r="C326" s="2" t="s">
        <v>8349</v>
      </c>
      <c r="D326" t="s">
        <v>2459</v>
      </c>
      <c r="E326" t="s">
        <v>2458</v>
      </c>
      <c r="H326" t="s">
        <v>2464</v>
      </c>
      <c r="K326" t="s">
        <v>2460</v>
      </c>
      <c r="L326" t="str">
        <f>"9781433892981"</f>
        <v>9781433892981</v>
      </c>
      <c r="M326" t="str">
        <f>"00121649"</f>
        <v>00121649</v>
      </c>
      <c r="N326" s="2" t="str">
        <f>"20190901"</f>
        <v>20190901</v>
      </c>
      <c r="O326">
        <v>55</v>
      </c>
      <c r="P326">
        <v>9</v>
      </c>
      <c r="Q326">
        <v>1850</v>
      </c>
      <c r="R326">
        <v>18</v>
      </c>
      <c r="S326" t="s">
        <v>2461</v>
      </c>
      <c r="T326" t="s">
        <v>2462</v>
      </c>
      <c r="U326" t="s">
        <v>59</v>
      </c>
      <c r="V326" t="s">
        <v>2463</v>
      </c>
      <c r="X326" t="s">
        <v>2465</v>
      </c>
      <c r="Y326" t="b">
        <f t="shared" si="5"/>
        <v>1</v>
      </c>
    </row>
    <row r="327" spans="1:25">
      <c r="A327" s="11" t="s">
        <v>9939</v>
      </c>
      <c r="B327" t="s">
        <v>16</v>
      </c>
      <c r="C327" s="2" t="s">
        <v>8348</v>
      </c>
      <c r="D327" t="s">
        <v>2467</v>
      </c>
      <c r="E327" t="s">
        <v>2466</v>
      </c>
      <c r="F327">
        <v>1</v>
      </c>
      <c r="H327" t="s">
        <v>2472</v>
      </c>
      <c r="I327">
        <v>1</v>
      </c>
      <c r="K327" t="s">
        <v>2468</v>
      </c>
      <c r="M327" t="str">
        <f>"13510126"</f>
        <v>13510126</v>
      </c>
      <c r="N327" s="2" t="str">
        <f>"20050801"</f>
        <v>20050801</v>
      </c>
      <c r="O327">
        <v>12</v>
      </c>
      <c r="P327">
        <v>4</v>
      </c>
      <c r="Q327">
        <v>423</v>
      </c>
      <c r="R327">
        <v>8</v>
      </c>
      <c r="S327" t="s">
        <v>2469</v>
      </c>
      <c r="T327" t="s">
        <v>2470</v>
      </c>
      <c r="U327" t="s">
        <v>464</v>
      </c>
      <c r="V327" t="s">
        <v>2471</v>
      </c>
      <c r="X327" t="s">
        <v>2473</v>
      </c>
      <c r="Y327" t="b">
        <f t="shared" si="5"/>
        <v>0</v>
      </c>
    </row>
    <row r="328" spans="1:25" hidden="1">
      <c r="A328" s="11" t="s">
        <v>9939</v>
      </c>
      <c r="B328" t="s">
        <v>16</v>
      </c>
      <c r="C328" s="2" t="s">
        <v>8337</v>
      </c>
      <c r="D328" t="s">
        <v>2475</v>
      </c>
      <c r="E328" t="s">
        <v>2474</v>
      </c>
      <c r="H328" t="s">
        <v>2479</v>
      </c>
      <c r="K328" t="s">
        <v>84</v>
      </c>
      <c r="M328" t="str">
        <f>"13607863"</f>
        <v>13607863</v>
      </c>
      <c r="N328" s="2" t="str">
        <f>"20130101"</f>
        <v>20130101</v>
      </c>
      <c r="O328">
        <v>17</v>
      </c>
      <c r="P328">
        <v>1</v>
      </c>
      <c r="Q328">
        <v>102</v>
      </c>
      <c r="R328">
        <v>7</v>
      </c>
      <c r="S328" t="s">
        <v>2476</v>
      </c>
      <c r="T328" t="s">
        <v>2477</v>
      </c>
      <c r="U328" t="s">
        <v>87</v>
      </c>
      <c r="V328" t="s">
        <v>2478</v>
      </c>
      <c r="X328" t="s">
        <v>2480</v>
      </c>
      <c r="Y328" t="b">
        <f t="shared" si="5"/>
        <v>1</v>
      </c>
    </row>
    <row r="329" spans="1:25" hidden="1">
      <c r="A329" s="11" t="s">
        <v>9939</v>
      </c>
      <c r="B329" t="s">
        <v>16</v>
      </c>
      <c r="C329" s="2" t="s">
        <v>8344</v>
      </c>
      <c r="D329" t="s">
        <v>2482</v>
      </c>
      <c r="E329" t="s">
        <v>2481</v>
      </c>
      <c r="F329">
        <v>0</v>
      </c>
      <c r="G329" t="s">
        <v>9178</v>
      </c>
      <c r="H329" t="s">
        <v>2487</v>
      </c>
      <c r="K329" t="s">
        <v>2483</v>
      </c>
      <c r="M329" t="str">
        <f>"17542863"</f>
        <v>17542863</v>
      </c>
      <c r="N329" s="2" t="str">
        <f>"20100601"</f>
        <v>20100601</v>
      </c>
      <c r="O329">
        <v>3</v>
      </c>
      <c r="P329">
        <v>1</v>
      </c>
      <c r="Q329">
        <v>34</v>
      </c>
      <c r="R329">
        <v>9</v>
      </c>
      <c r="S329" t="s">
        <v>2484</v>
      </c>
      <c r="T329" t="s">
        <v>2485</v>
      </c>
      <c r="U329" t="s">
        <v>87</v>
      </c>
      <c r="V329" t="s">
        <v>2486</v>
      </c>
      <c r="X329" t="s">
        <v>2488</v>
      </c>
      <c r="Y329" t="b">
        <f t="shared" si="5"/>
        <v>0</v>
      </c>
    </row>
    <row r="330" spans="1:25" hidden="1">
      <c r="A330" s="11" t="s">
        <v>9939</v>
      </c>
      <c r="B330" t="s">
        <v>16</v>
      </c>
      <c r="C330" s="2" t="s">
        <v>8338</v>
      </c>
      <c r="D330" t="s">
        <v>2490</v>
      </c>
      <c r="E330" t="s">
        <v>2489</v>
      </c>
      <c r="F330">
        <v>0</v>
      </c>
      <c r="G330" t="s">
        <v>9178</v>
      </c>
      <c r="H330" t="s">
        <v>2494</v>
      </c>
      <c r="K330" t="s">
        <v>40</v>
      </c>
      <c r="M330" t="str">
        <f>"15571912"</f>
        <v>15571912</v>
      </c>
      <c r="N330" s="2" t="str">
        <f>"20061001"</f>
        <v>20061001</v>
      </c>
      <c r="O330">
        <v>8</v>
      </c>
      <c r="P330">
        <v>4</v>
      </c>
      <c r="Q330">
        <v>325</v>
      </c>
      <c r="R330">
        <v>14</v>
      </c>
      <c r="S330" t="s">
        <v>2491</v>
      </c>
      <c r="T330" t="s">
        <v>2492</v>
      </c>
      <c r="U330" t="s">
        <v>42</v>
      </c>
      <c r="V330" t="s">
        <v>2493</v>
      </c>
      <c r="X330" t="s">
        <v>2495</v>
      </c>
      <c r="Y330" t="b">
        <f t="shared" si="5"/>
        <v>0</v>
      </c>
    </row>
    <row r="331" spans="1:25" hidden="1">
      <c r="A331" s="11" t="s">
        <v>9939</v>
      </c>
      <c r="B331" t="s">
        <v>16</v>
      </c>
      <c r="C331" s="2" t="s">
        <v>8335</v>
      </c>
      <c r="D331" t="s">
        <v>2497</v>
      </c>
      <c r="E331" t="s">
        <v>2496</v>
      </c>
      <c r="H331" t="s">
        <v>2501</v>
      </c>
      <c r="K331" t="s">
        <v>1180</v>
      </c>
      <c r="M331" t="str">
        <f>"15313204"</f>
        <v>15313204</v>
      </c>
      <c r="N331" s="2" t="str">
        <f>"20040101"</f>
        <v>20040101</v>
      </c>
      <c r="O331">
        <v>13</v>
      </c>
      <c r="P331">
        <v>4</v>
      </c>
      <c r="Q331">
        <v>1</v>
      </c>
      <c r="R331">
        <v>26</v>
      </c>
      <c r="S331" t="s">
        <v>2498</v>
      </c>
      <c r="T331" t="s">
        <v>2499</v>
      </c>
      <c r="U331" t="s">
        <v>420</v>
      </c>
      <c r="V331" t="s">
        <v>2500</v>
      </c>
      <c r="X331" t="s">
        <v>2502</v>
      </c>
      <c r="Y331" t="b">
        <f t="shared" si="5"/>
        <v>1</v>
      </c>
    </row>
    <row r="332" spans="1:25" hidden="1">
      <c r="A332" s="11" t="s">
        <v>9939</v>
      </c>
      <c r="B332" t="s">
        <v>16</v>
      </c>
      <c r="C332" s="2" t="s">
        <v>8339</v>
      </c>
      <c r="D332" t="s">
        <v>2504</v>
      </c>
      <c r="E332" t="s">
        <v>2503</v>
      </c>
      <c r="F332">
        <v>0</v>
      </c>
      <c r="G332" t="s">
        <v>9178</v>
      </c>
      <c r="H332" t="s">
        <v>2508</v>
      </c>
      <c r="K332" t="s">
        <v>172</v>
      </c>
      <c r="M332" t="str">
        <f>"01634372"</f>
        <v>01634372</v>
      </c>
      <c r="N332" s="2" t="str">
        <f>"20150101"</f>
        <v>20150101</v>
      </c>
      <c r="O332">
        <v>58</v>
      </c>
      <c r="P332">
        <v>1</v>
      </c>
      <c r="Q332">
        <v>86</v>
      </c>
      <c r="R332">
        <v>18</v>
      </c>
      <c r="S332" t="s">
        <v>2505</v>
      </c>
      <c r="T332" t="s">
        <v>2506</v>
      </c>
      <c r="U332" t="s">
        <v>87</v>
      </c>
      <c r="V332" t="s">
        <v>2507</v>
      </c>
      <c r="X332" t="s">
        <v>2509</v>
      </c>
      <c r="Y332" t="b">
        <f t="shared" si="5"/>
        <v>0</v>
      </c>
    </row>
    <row r="333" spans="1:25" hidden="1">
      <c r="A333" s="11" t="s">
        <v>9939</v>
      </c>
      <c r="B333" t="s">
        <v>69</v>
      </c>
      <c r="C333" s="2" t="s">
        <v>8343</v>
      </c>
      <c r="D333" t="s">
        <v>2511</v>
      </c>
      <c r="E333" t="s">
        <v>2510</v>
      </c>
      <c r="H333" t="s">
        <v>2515</v>
      </c>
      <c r="K333" t="s">
        <v>101</v>
      </c>
      <c r="L333" t="str">
        <f>"9781339920313"</f>
        <v>9781339920313</v>
      </c>
      <c r="M333" t="str">
        <f>"04194217"</f>
        <v>04194217</v>
      </c>
      <c r="N333" s="2" t="str">
        <f>"20170101"</f>
        <v>20170101</v>
      </c>
      <c r="O333">
        <v>77</v>
      </c>
      <c r="P333" t="s">
        <v>2512</v>
      </c>
      <c r="S333" t="s">
        <v>2513</v>
      </c>
      <c r="U333" t="s">
        <v>68</v>
      </c>
      <c r="V333" t="s">
        <v>2514</v>
      </c>
      <c r="X333" t="s">
        <v>2516</v>
      </c>
      <c r="Y333" t="b">
        <f t="shared" si="5"/>
        <v>1</v>
      </c>
    </row>
    <row r="334" spans="1:25">
      <c r="A334" s="11" t="s">
        <v>9939</v>
      </c>
      <c r="B334" t="s">
        <v>16</v>
      </c>
      <c r="C334" s="2" t="s">
        <v>8353</v>
      </c>
      <c r="D334" t="s">
        <v>2518</v>
      </c>
      <c r="E334" t="s">
        <v>2517</v>
      </c>
      <c r="F334">
        <v>1</v>
      </c>
      <c r="H334" t="s">
        <v>2522</v>
      </c>
      <c r="I334">
        <v>1</v>
      </c>
      <c r="J334" t="s">
        <v>9952</v>
      </c>
      <c r="K334" t="s">
        <v>1414</v>
      </c>
      <c r="M334" t="str">
        <f>"13557858"</f>
        <v>13557858</v>
      </c>
      <c r="N334" s="2" t="str">
        <f>"20160501"</f>
        <v>20160501</v>
      </c>
      <c r="O334">
        <v>21</v>
      </c>
      <c r="P334">
        <v>3</v>
      </c>
      <c r="Q334">
        <v>300</v>
      </c>
      <c r="R334">
        <v>18</v>
      </c>
      <c r="S334" t="s">
        <v>2519</v>
      </c>
      <c r="T334" t="s">
        <v>2520</v>
      </c>
      <c r="U334" t="s">
        <v>87</v>
      </c>
      <c r="V334" t="s">
        <v>2521</v>
      </c>
      <c r="X334" t="s">
        <v>2523</v>
      </c>
      <c r="Y334" t="b">
        <f t="shared" si="5"/>
        <v>0</v>
      </c>
    </row>
    <row r="335" spans="1:25" hidden="1">
      <c r="A335" s="11" t="s">
        <v>9939</v>
      </c>
      <c r="B335" t="s">
        <v>16</v>
      </c>
      <c r="C335" s="2" t="s">
        <v>8344</v>
      </c>
      <c r="D335" t="s">
        <v>2525</v>
      </c>
      <c r="E335" t="s">
        <v>2524</v>
      </c>
      <c r="F335">
        <v>0</v>
      </c>
      <c r="G335" t="s">
        <v>9178</v>
      </c>
      <c r="H335" t="s">
        <v>2529</v>
      </c>
      <c r="K335" t="s">
        <v>22</v>
      </c>
      <c r="M335" t="str">
        <f>"00223018"</f>
        <v>00223018</v>
      </c>
      <c r="N335" s="2" t="str">
        <f>"20100701"</f>
        <v>20100701</v>
      </c>
      <c r="O335">
        <v>198</v>
      </c>
      <c r="P335">
        <v>7</v>
      </c>
      <c r="Q335">
        <v>470</v>
      </c>
      <c r="R335">
        <v>8</v>
      </c>
      <c r="S335" t="s">
        <v>2526</v>
      </c>
      <c r="T335" t="s">
        <v>2527</v>
      </c>
      <c r="U335" t="s">
        <v>25</v>
      </c>
      <c r="V335" t="s">
        <v>2528</v>
      </c>
      <c r="X335" t="s">
        <v>2530</v>
      </c>
      <c r="Y335" t="b">
        <f t="shared" si="5"/>
        <v>0</v>
      </c>
    </row>
    <row r="336" spans="1:25" hidden="1">
      <c r="A336" s="11" t="s">
        <v>9939</v>
      </c>
      <c r="B336" t="s">
        <v>16</v>
      </c>
      <c r="C336" s="2" t="s">
        <v>8337</v>
      </c>
      <c r="D336" t="s">
        <v>2532</v>
      </c>
      <c r="E336" t="s">
        <v>2531</v>
      </c>
      <c r="F336">
        <v>0</v>
      </c>
      <c r="G336" t="s">
        <v>9178</v>
      </c>
      <c r="H336" t="s">
        <v>2537</v>
      </c>
      <c r="K336" t="s">
        <v>2533</v>
      </c>
      <c r="M336" t="str">
        <f>"08839417"</f>
        <v>08839417</v>
      </c>
      <c r="N336" s="2" t="str">
        <f>"20130601"</f>
        <v>20130601</v>
      </c>
      <c r="O336">
        <v>27</v>
      </c>
      <c r="P336">
        <v>3</v>
      </c>
      <c r="Q336">
        <v>148</v>
      </c>
      <c r="R336">
        <v>8</v>
      </c>
      <c r="S336" t="s">
        <v>2534</v>
      </c>
      <c r="T336" t="s">
        <v>2535</v>
      </c>
      <c r="U336" t="s">
        <v>34</v>
      </c>
      <c r="V336" t="s">
        <v>2536</v>
      </c>
      <c r="X336" t="s">
        <v>2538</v>
      </c>
      <c r="Y336" t="b">
        <f t="shared" si="5"/>
        <v>0</v>
      </c>
    </row>
    <row r="337" spans="1:25" hidden="1">
      <c r="A337" s="11" t="s">
        <v>9939</v>
      </c>
      <c r="B337" t="s">
        <v>16</v>
      </c>
      <c r="C337" s="2" t="s">
        <v>8352</v>
      </c>
      <c r="D337" t="s">
        <v>2540</v>
      </c>
      <c r="E337" t="s">
        <v>2539</v>
      </c>
      <c r="F337">
        <v>0</v>
      </c>
      <c r="G337" t="s">
        <v>9178</v>
      </c>
      <c r="H337" t="s">
        <v>2545</v>
      </c>
      <c r="K337" t="s">
        <v>2541</v>
      </c>
      <c r="M337" t="str">
        <f>"00048674"</f>
        <v>00048674</v>
      </c>
      <c r="N337" s="2" t="str">
        <f>"20030801"</f>
        <v>20030801</v>
      </c>
      <c r="O337">
        <v>37</v>
      </c>
      <c r="P337">
        <v>4</v>
      </c>
      <c r="Q337">
        <v>445</v>
      </c>
      <c r="R337">
        <v>7</v>
      </c>
      <c r="S337" t="s">
        <v>2542</v>
      </c>
      <c r="T337" t="s">
        <v>2543</v>
      </c>
      <c r="U337" t="s">
        <v>464</v>
      </c>
      <c r="V337" t="s">
        <v>2544</v>
      </c>
      <c r="X337" t="s">
        <v>2546</v>
      </c>
      <c r="Y337" t="b">
        <f t="shared" si="5"/>
        <v>0</v>
      </c>
    </row>
    <row r="338" spans="1:25">
      <c r="A338" s="11" t="s">
        <v>9939</v>
      </c>
      <c r="B338" t="s">
        <v>16</v>
      </c>
      <c r="C338" s="2" t="s">
        <v>8340</v>
      </c>
      <c r="D338" t="s">
        <v>2548</v>
      </c>
      <c r="E338" t="s">
        <v>2547</v>
      </c>
      <c r="F338">
        <v>1</v>
      </c>
      <c r="H338" t="s">
        <v>2552</v>
      </c>
      <c r="I338">
        <v>1</v>
      </c>
      <c r="J338" t="s">
        <v>9952</v>
      </c>
      <c r="K338" t="s">
        <v>252</v>
      </c>
      <c r="M338" t="str">
        <f>"00220221"</f>
        <v>00220221</v>
      </c>
      <c r="N338" s="2" t="str">
        <f>"20180901"</f>
        <v>20180901</v>
      </c>
      <c r="O338">
        <v>49</v>
      </c>
      <c r="P338">
        <v>8</v>
      </c>
      <c r="Q338">
        <v>1269</v>
      </c>
      <c r="R338">
        <v>14</v>
      </c>
      <c r="S338" t="s">
        <v>2549</v>
      </c>
      <c r="T338" t="s">
        <v>2550</v>
      </c>
      <c r="U338" t="s">
        <v>15</v>
      </c>
      <c r="V338" t="s">
        <v>2551</v>
      </c>
      <c r="X338" t="s">
        <v>2553</v>
      </c>
      <c r="Y338" t="b">
        <f t="shared" si="5"/>
        <v>0</v>
      </c>
    </row>
    <row r="339" spans="1:25" hidden="1">
      <c r="A339" s="11" t="s">
        <v>9939</v>
      </c>
      <c r="B339" t="s">
        <v>69</v>
      </c>
      <c r="C339" s="2" t="s">
        <v>8339</v>
      </c>
      <c r="D339" t="s">
        <v>2555</v>
      </c>
      <c r="E339" t="s">
        <v>2554</v>
      </c>
      <c r="H339" t="s">
        <v>2559</v>
      </c>
      <c r="K339" t="s">
        <v>101</v>
      </c>
      <c r="L339" t="str">
        <f>"9781321395709"</f>
        <v>9781321395709</v>
      </c>
      <c r="M339" t="str">
        <f>"04194217"</f>
        <v>04194217</v>
      </c>
      <c r="N339" s="2" t="str">
        <f>"20150101"</f>
        <v>20150101</v>
      </c>
      <c r="O339">
        <v>76</v>
      </c>
      <c r="P339" t="s">
        <v>2556</v>
      </c>
      <c r="S339" t="s">
        <v>2557</v>
      </c>
      <c r="U339" t="s">
        <v>68</v>
      </c>
      <c r="V339" t="s">
        <v>2558</v>
      </c>
      <c r="X339" t="s">
        <v>2560</v>
      </c>
      <c r="Y339" t="b">
        <f t="shared" si="5"/>
        <v>1</v>
      </c>
    </row>
    <row r="340" spans="1:25" hidden="1">
      <c r="A340" s="11" t="s">
        <v>9939</v>
      </c>
      <c r="B340" t="s">
        <v>16</v>
      </c>
      <c r="C340" s="2" t="s">
        <v>8344</v>
      </c>
      <c r="D340" t="s">
        <v>2562</v>
      </c>
      <c r="E340" t="s">
        <v>2561</v>
      </c>
      <c r="F340" s="20">
        <v>0</v>
      </c>
      <c r="G340" s="20" t="s">
        <v>9178</v>
      </c>
      <c r="H340" t="s">
        <v>2566</v>
      </c>
      <c r="K340" t="s">
        <v>84</v>
      </c>
      <c r="M340" t="str">
        <f>"13607863"</f>
        <v>13607863</v>
      </c>
      <c r="N340" s="2" t="str">
        <f>"20100801"</f>
        <v>20100801</v>
      </c>
      <c r="O340">
        <v>14</v>
      </c>
      <c r="P340">
        <v>6</v>
      </c>
      <c r="Q340">
        <v>695</v>
      </c>
      <c r="R340">
        <v>10</v>
      </c>
      <c r="S340" t="s">
        <v>2563</v>
      </c>
      <c r="T340" t="s">
        <v>2564</v>
      </c>
      <c r="U340" t="s">
        <v>87</v>
      </c>
      <c r="V340" t="s">
        <v>2565</v>
      </c>
      <c r="X340" t="s">
        <v>2567</v>
      </c>
      <c r="Y340" t="b">
        <f t="shared" si="5"/>
        <v>0</v>
      </c>
    </row>
    <row r="341" spans="1:25" hidden="1">
      <c r="A341" s="11" t="s">
        <v>9939</v>
      </c>
      <c r="B341" t="s">
        <v>16</v>
      </c>
      <c r="C341" s="2" t="s">
        <v>8335</v>
      </c>
      <c r="D341" t="s">
        <v>2569</v>
      </c>
      <c r="E341" t="s">
        <v>2568</v>
      </c>
      <c r="F341" s="20">
        <v>0</v>
      </c>
      <c r="G341" s="20" t="s">
        <v>9178</v>
      </c>
      <c r="H341" t="s">
        <v>2573</v>
      </c>
      <c r="K341" t="s">
        <v>485</v>
      </c>
      <c r="M341" t="str">
        <f>"10964045"</f>
        <v>10964045</v>
      </c>
      <c r="N341" s="2" t="str">
        <f>"20041001"</f>
        <v>20041001</v>
      </c>
      <c r="O341">
        <v>6</v>
      </c>
      <c r="P341">
        <v>4</v>
      </c>
      <c r="Q341">
        <v>145</v>
      </c>
      <c r="R341">
        <v>9</v>
      </c>
      <c r="S341" t="s">
        <v>2570</v>
      </c>
      <c r="T341" t="s">
        <v>2571</v>
      </c>
      <c r="U341" t="s">
        <v>42</v>
      </c>
      <c r="V341" t="s">
        <v>2572</v>
      </c>
      <c r="X341" t="s">
        <v>2574</v>
      </c>
      <c r="Y341" t="b">
        <f t="shared" si="5"/>
        <v>0</v>
      </c>
    </row>
    <row r="342" spans="1:25" hidden="1">
      <c r="A342" s="11" t="s">
        <v>9939</v>
      </c>
      <c r="B342" t="s">
        <v>16</v>
      </c>
      <c r="C342" s="2" t="s">
        <v>8346</v>
      </c>
      <c r="D342" t="s">
        <v>2576</v>
      </c>
      <c r="E342" t="s">
        <v>2575</v>
      </c>
      <c r="H342" t="s">
        <v>2581</v>
      </c>
      <c r="K342" t="s">
        <v>2577</v>
      </c>
      <c r="M342" t="str">
        <f>"14795868"</f>
        <v>14795868</v>
      </c>
      <c r="N342" s="2" t="str">
        <f>"20110518"</f>
        <v>20110518</v>
      </c>
      <c r="O342">
        <v>8</v>
      </c>
      <c r="S342" t="s">
        <v>2578</v>
      </c>
      <c r="T342" t="s">
        <v>2579</v>
      </c>
      <c r="U342" t="s">
        <v>563</v>
      </c>
      <c r="V342" t="s">
        <v>2580</v>
      </c>
      <c r="X342" t="s">
        <v>2582</v>
      </c>
      <c r="Y342" t="b">
        <f t="shared" si="5"/>
        <v>1</v>
      </c>
    </row>
    <row r="343" spans="1:25" hidden="1">
      <c r="A343" s="11" t="s">
        <v>9939</v>
      </c>
      <c r="B343" t="s">
        <v>16</v>
      </c>
      <c r="C343" s="2" t="s">
        <v>8346</v>
      </c>
      <c r="D343" t="s">
        <v>2584</v>
      </c>
      <c r="E343" t="s">
        <v>2583</v>
      </c>
      <c r="H343" t="s">
        <v>2588</v>
      </c>
      <c r="K343" t="s">
        <v>40</v>
      </c>
      <c r="M343" t="str">
        <f>"15571912"</f>
        <v>15571912</v>
      </c>
      <c r="N343" s="2" t="str">
        <f>"20111001"</f>
        <v>20111001</v>
      </c>
      <c r="O343">
        <v>13</v>
      </c>
      <c r="P343">
        <v>5</v>
      </c>
      <c r="Q343">
        <v>809</v>
      </c>
      <c r="R343">
        <v>9</v>
      </c>
      <c r="S343" t="s">
        <v>2585</v>
      </c>
      <c r="T343" t="s">
        <v>2586</v>
      </c>
      <c r="U343" t="s">
        <v>42</v>
      </c>
      <c r="V343" t="s">
        <v>2587</v>
      </c>
      <c r="X343" t="s">
        <v>2589</v>
      </c>
      <c r="Y343" t="b">
        <f t="shared" si="5"/>
        <v>1</v>
      </c>
    </row>
    <row r="344" spans="1:25" hidden="1">
      <c r="A344" s="11" t="s">
        <v>9939</v>
      </c>
      <c r="B344" t="s">
        <v>16</v>
      </c>
      <c r="C344" s="2" t="s">
        <v>8337</v>
      </c>
      <c r="D344" t="s">
        <v>2591</v>
      </c>
      <c r="E344" t="s">
        <v>2590</v>
      </c>
      <c r="H344" t="s">
        <v>2595</v>
      </c>
      <c r="K344" t="s">
        <v>2592</v>
      </c>
      <c r="M344" t="str">
        <f>"01606891"</f>
        <v>01606891</v>
      </c>
      <c r="N344" s="2" t="str">
        <f>"20131001"</f>
        <v>20131001</v>
      </c>
      <c r="O344">
        <v>36</v>
      </c>
      <c r="P344">
        <v>5</v>
      </c>
      <c r="Q344">
        <v>466</v>
      </c>
      <c r="R344">
        <v>12</v>
      </c>
      <c r="S344" t="s">
        <v>2593</v>
      </c>
      <c r="U344" t="s">
        <v>224</v>
      </c>
      <c r="V344" t="s">
        <v>2594</v>
      </c>
      <c r="X344" t="s">
        <v>2596</v>
      </c>
      <c r="Y344" t="b">
        <f t="shared" si="5"/>
        <v>1</v>
      </c>
    </row>
    <row r="345" spans="1:25" hidden="1">
      <c r="A345" s="11" t="s">
        <v>9939</v>
      </c>
      <c r="B345" t="s">
        <v>16</v>
      </c>
      <c r="C345" s="2" t="s">
        <v>8344</v>
      </c>
      <c r="D345" t="s">
        <v>2598</v>
      </c>
      <c r="E345" t="s">
        <v>2597</v>
      </c>
      <c r="F345" s="20">
        <v>0</v>
      </c>
      <c r="G345" s="20" t="s">
        <v>9178</v>
      </c>
      <c r="H345" t="s">
        <v>2602</v>
      </c>
      <c r="K345" t="s">
        <v>322</v>
      </c>
      <c r="M345" t="str">
        <f>"03038300"</f>
        <v>03038300</v>
      </c>
      <c r="N345" s="2" t="str">
        <f>"20100501"</f>
        <v>20100501</v>
      </c>
      <c r="O345">
        <v>96</v>
      </c>
      <c r="P345">
        <v>3</v>
      </c>
      <c r="Q345">
        <v>515</v>
      </c>
      <c r="R345">
        <v>20</v>
      </c>
      <c r="S345" t="s">
        <v>2599</v>
      </c>
      <c r="T345" t="s">
        <v>2600</v>
      </c>
      <c r="U345" t="s">
        <v>42</v>
      </c>
      <c r="V345" t="s">
        <v>2601</v>
      </c>
      <c r="X345" t="s">
        <v>2603</v>
      </c>
      <c r="Y345" t="b">
        <f t="shared" si="5"/>
        <v>0</v>
      </c>
    </row>
    <row r="346" spans="1:25" hidden="1">
      <c r="A346" s="11" t="s">
        <v>9939</v>
      </c>
      <c r="B346" t="s">
        <v>16</v>
      </c>
      <c r="C346" s="2" t="s">
        <v>8346</v>
      </c>
      <c r="D346" t="s">
        <v>2605</v>
      </c>
      <c r="E346" t="s">
        <v>2604</v>
      </c>
      <c r="H346" t="s">
        <v>2609</v>
      </c>
      <c r="K346" t="s">
        <v>93</v>
      </c>
      <c r="M346" t="str">
        <f>"00207640"</f>
        <v>00207640</v>
      </c>
      <c r="N346" s="2" t="str">
        <f>"20110101"</f>
        <v>20110101</v>
      </c>
      <c r="O346">
        <v>57</v>
      </c>
      <c r="P346">
        <v>1</v>
      </c>
      <c r="Q346">
        <v>30</v>
      </c>
      <c r="R346">
        <v>15</v>
      </c>
      <c r="S346" t="s">
        <v>2606</v>
      </c>
      <c r="T346" t="s">
        <v>2607</v>
      </c>
      <c r="U346" t="s">
        <v>15</v>
      </c>
      <c r="V346" t="s">
        <v>2608</v>
      </c>
      <c r="X346" t="s">
        <v>2610</v>
      </c>
      <c r="Y346" t="b">
        <f t="shared" si="5"/>
        <v>1</v>
      </c>
    </row>
    <row r="347" spans="1:25" hidden="1">
      <c r="A347" s="11" t="s">
        <v>9939</v>
      </c>
      <c r="B347" t="s">
        <v>16</v>
      </c>
      <c r="C347" s="2" t="s">
        <v>8346</v>
      </c>
      <c r="D347" t="s">
        <v>2612</v>
      </c>
      <c r="E347" t="s">
        <v>2611</v>
      </c>
      <c r="F347" s="20">
        <v>0</v>
      </c>
      <c r="G347" s="20" t="s">
        <v>9249</v>
      </c>
      <c r="H347" t="s">
        <v>2617</v>
      </c>
      <c r="K347" t="s">
        <v>2613</v>
      </c>
      <c r="M347" t="str">
        <f>"10492089"</f>
        <v>10492089</v>
      </c>
      <c r="N347" s="2" t="str">
        <f>"20110201"</f>
        <v>20110201</v>
      </c>
      <c r="O347">
        <v>22</v>
      </c>
      <c r="P347">
        <v>1</v>
      </c>
      <c r="Q347">
        <v>157</v>
      </c>
      <c r="R347">
        <v>19</v>
      </c>
      <c r="S347" t="s">
        <v>2614</v>
      </c>
      <c r="U347" t="s">
        <v>2615</v>
      </c>
      <c r="V347" t="s">
        <v>2616</v>
      </c>
      <c r="X347" t="s">
        <v>2618</v>
      </c>
      <c r="Y347" t="b">
        <f t="shared" si="5"/>
        <v>0</v>
      </c>
    </row>
    <row r="348" spans="1:25">
      <c r="A348" s="11" t="s">
        <v>9939</v>
      </c>
      <c r="B348" t="s">
        <v>16</v>
      </c>
      <c r="C348" s="2" t="s">
        <v>8343</v>
      </c>
      <c r="D348" t="s">
        <v>1005</v>
      </c>
      <c r="E348" t="s">
        <v>2619</v>
      </c>
      <c r="F348" s="20">
        <v>1</v>
      </c>
      <c r="H348" t="s">
        <v>2623</v>
      </c>
      <c r="I348">
        <v>0</v>
      </c>
      <c r="J348" t="s">
        <v>9237</v>
      </c>
      <c r="K348" t="s">
        <v>132</v>
      </c>
      <c r="M348" t="str">
        <f>"01471767"</f>
        <v>01471767</v>
      </c>
      <c r="N348" s="2" t="str">
        <f>"20170501"</f>
        <v>20170501</v>
      </c>
      <c r="O348">
        <v>58</v>
      </c>
      <c r="Q348">
        <v>1</v>
      </c>
      <c r="R348">
        <v>11</v>
      </c>
      <c r="S348" t="s">
        <v>2620</v>
      </c>
      <c r="T348" t="s">
        <v>2621</v>
      </c>
      <c r="U348" t="s">
        <v>34</v>
      </c>
      <c r="V348" t="s">
        <v>2622</v>
      </c>
      <c r="X348" t="s">
        <v>2624</v>
      </c>
      <c r="Y348" t="b">
        <f t="shared" si="5"/>
        <v>0</v>
      </c>
    </row>
    <row r="349" spans="1:25" hidden="1">
      <c r="A349" s="11" t="s">
        <v>9939</v>
      </c>
      <c r="B349" t="s">
        <v>16</v>
      </c>
      <c r="C349" s="2" t="s">
        <v>8344</v>
      </c>
      <c r="D349" t="s">
        <v>2626</v>
      </c>
      <c r="E349" t="s">
        <v>2625</v>
      </c>
      <c r="H349" t="s">
        <v>2630</v>
      </c>
      <c r="K349" t="s">
        <v>132</v>
      </c>
      <c r="M349" t="str">
        <f>"01471767"</f>
        <v>01471767</v>
      </c>
      <c r="N349" s="2" t="str">
        <f>"20100501"</f>
        <v>20100501</v>
      </c>
      <c r="O349">
        <v>34</v>
      </c>
      <c r="P349">
        <v>3</v>
      </c>
      <c r="Q349">
        <v>233</v>
      </c>
      <c r="R349">
        <v>11</v>
      </c>
      <c r="S349" t="s">
        <v>2627</v>
      </c>
      <c r="T349" t="s">
        <v>2628</v>
      </c>
      <c r="U349" t="s">
        <v>34</v>
      </c>
      <c r="V349" t="s">
        <v>2629</v>
      </c>
      <c r="X349" t="s">
        <v>2631</v>
      </c>
      <c r="Y349" t="b">
        <f t="shared" si="5"/>
        <v>1</v>
      </c>
    </row>
    <row r="350" spans="1:25">
      <c r="A350" s="11" t="s">
        <v>9939</v>
      </c>
      <c r="B350" t="s">
        <v>16</v>
      </c>
      <c r="C350" s="2" t="s">
        <v>8353</v>
      </c>
      <c r="D350" t="s">
        <v>2633</v>
      </c>
      <c r="E350" t="s">
        <v>2632</v>
      </c>
      <c r="F350" s="20">
        <v>1</v>
      </c>
      <c r="H350" t="s">
        <v>2639</v>
      </c>
      <c r="I350">
        <v>1</v>
      </c>
      <c r="K350" t="s">
        <v>2634</v>
      </c>
      <c r="M350" t="str">
        <f>"19326203"</f>
        <v>19326203</v>
      </c>
      <c r="N350" s="2" t="str">
        <f>"20160824"</f>
        <v>20160824</v>
      </c>
      <c r="O350">
        <v>11</v>
      </c>
      <c r="P350">
        <v>8</v>
      </c>
      <c r="S350" t="s">
        <v>2635</v>
      </c>
      <c r="T350" t="s">
        <v>2636</v>
      </c>
      <c r="U350" t="s">
        <v>2637</v>
      </c>
      <c r="V350" t="s">
        <v>2638</v>
      </c>
      <c r="X350" t="s">
        <v>2640</v>
      </c>
      <c r="Y350" t="b">
        <f t="shared" si="5"/>
        <v>0</v>
      </c>
    </row>
    <row r="351" spans="1:25" hidden="1">
      <c r="A351" s="11" t="s">
        <v>9939</v>
      </c>
      <c r="B351" t="s">
        <v>16</v>
      </c>
      <c r="C351" s="2" t="s">
        <v>8337</v>
      </c>
      <c r="D351" t="s">
        <v>2642</v>
      </c>
      <c r="E351" t="s">
        <v>2641</v>
      </c>
      <c r="H351" t="s">
        <v>2646</v>
      </c>
      <c r="K351" t="s">
        <v>132</v>
      </c>
      <c r="M351" t="str">
        <f>"01471767"</f>
        <v>01471767</v>
      </c>
      <c r="N351" s="2" t="str">
        <f>"20130501"</f>
        <v>20130501</v>
      </c>
      <c r="O351">
        <v>37</v>
      </c>
      <c r="P351">
        <v>3</v>
      </c>
      <c r="Q351">
        <v>354</v>
      </c>
      <c r="R351">
        <v>12</v>
      </c>
      <c r="S351" t="s">
        <v>2643</v>
      </c>
      <c r="T351" t="s">
        <v>2644</v>
      </c>
      <c r="U351" t="s">
        <v>34</v>
      </c>
      <c r="V351" t="s">
        <v>2645</v>
      </c>
      <c r="X351" t="s">
        <v>2647</v>
      </c>
      <c r="Y351" t="b">
        <f t="shared" si="5"/>
        <v>1</v>
      </c>
    </row>
    <row r="352" spans="1:25" hidden="1">
      <c r="A352" s="11" t="s">
        <v>9939</v>
      </c>
      <c r="B352" t="s">
        <v>16</v>
      </c>
      <c r="C352" s="2" t="s">
        <v>8340</v>
      </c>
      <c r="D352" t="s">
        <v>2649</v>
      </c>
      <c r="E352" t="s">
        <v>2648</v>
      </c>
      <c r="H352" t="s">
        <v>2654</v>
      </c>
      <c r="K352" t="s">
        <v>2650</v>
      </c>
      <c r="M352" t="str">
        <f>"14713802"</f>
        <v>14713802</v>
      </c>
      <c r="N352" s="2" t="str">
        <f>"20180401"</f>
        <v>20180401</v>
      </c>
      <c r="O352">
        <v>18</v>
      </c>
      <c r="P352">
        <v>2</v>
      </c>
      <c r="Q352">
        <v>83</v>
      </c>
      <c r="R352">
        <v>11</v>
      </c>
      <c r="S352" t="s">
        <v>2651</v>
      </c>
      <c r="T352" t="s">
        <v>2652</v>
      </c>
      <c r="U352" t="s">
        <v>730</v>
      </c>
      <c r="V352" t="s">
        <v>2653</v>
      </c>
      <c r="X352" t="s">
        <v>2655</v>
      </c>
      <c r="Y352" t="b">
        <f t="shared" si="5"/>
        <v>1</v>
      </c>
    </row>
    <row r="353" spans="1:25">
      <c r="A353" s="11" t="s">
        <v>9939</v>
      </c>
      <c r="B353" t="s">
        <v>16</v>
      </c>
      <c r="C353" s="2" t="s">
        <v>8337</v>
      </c>
      <c r="D353" t="s">
        <v>2657</v>
      </c>
      <c r="E353" t="s">
        <v>2656</v>
      </c>
      <c r="F353" s="20">
        <v>1</v>
      </c>
      <c r="H353" t="s">
        <v>2661</v>
      </c>
      <c r="I353">
        <v>1</v>
      </c>
      <c r="K353" t="s">
        <v>1160</v>
      </c>
      <c r="M353" t="str">
        <f>"01693816"</f>
        <v>01693816</v>
      </c>
      <c r="N353" s="2" t="str">
        <f>"20130901"</f>
        <v>20130901</v>
      </c>
      <c r="O353">
        <v>28</v>
      </c>
      <c r="P353">
        <v>3</v>
      </c>
      <c r="Q353">
        <v>359</v>
      </c>
      <c r="R353">
        <v>15</v>
      </c>
      <c r="S353" t="s">
        <v>2658</v>
      </c>
      <c r="T353" t="s">
        <v>2659</v>
      </c>
      <c r="U353" t="s">
        <v>42</v>
      </c>
      <c r="V353" t="s">
        <v>2660</v>
      </c>
      <c r="X353" t="s">
        <v>2662</v>
      </c>
      <c r="Y353" t="b">
        <f t="shared" si="5"/>
        <v>0</v>
      </c>
    </row>
    <row r="354" spans="1:25" hidden="1">
      <c r="A354" s="11" t="s">
        <v>9939</v>
      </c>
      <c r="B354" t="s">
        <v>395</v>
      </c>
      <c r="C354" s="2" t="s">
        <v>8334</v>
      </c>
      <c r="D354" t="s">
        <v>2664</v>
      </c>
      <c r="E354" t="s">
        <v>2663</v>
      </c>
      <c r="F354" s="20">
        <v>0</v>
      </c>
      <c r="G354" s="20" t="s">
        <v>9178</v>
      </c>
      <c r="H354" t="s">
        <v>2667</v>
      </c>
      <c r="K354" t="s">
        <v>695</v>
      </c>
      <c r="L354" t="str">
        <f>"9781409464242; 9781409464259; 9781472407832"</f>
        <v>9781409464242; 9781409464259; 9781472407832</v>
      </c>
      <c r="N354" s="2" t="str">
        <f>"20140101"</f>
        <v>20140101</v>
      </c>
      <c r="Q354">
        <v>271</v>
      </c>
      <c r="R354">
        <v>18</v>
      </c>
      <c r="S354" t="s">
        <v>2665</v>
      </c>
      <c r="U354" t="s">
        <v>697</v>
      </c>
      <c r="V354" t="s">
        <v>2666</v>
      </c>
      <c r="X354" t="s">
        <v>2668</v>
      </c>
      <c r="Y354" t="b">
        <f t="shared" si="5"/>
        <v>0</v>
      </c>
    </row>
    <row r="355" spans="1:25">
      <c r="A355" s="11" t="s">
        <v>9939</v>
      </c>
      <c r="B355" t="s">
        <v>16</v>
      </c>
      <c r="C355" s="2" t="s">
        <v>8340</v>
      </c>
      <c r="D355" t="s">
        <v>2670</v>
      </c>
      <c r="E355" t="s">
        <v>2669</v>
      </c>
      <c r="F355" s="20">
        <v>1</v>
      </c>
      <c r="H355" t="s">
        <v>2674</v>
      </c>
      <c r="I355">
        <v>1</v>
      </c>
      <c r="K355" t="s">
        <v>1678</v>
      </c>
      <c r="M355" t="str">
        <f>"00221465"</f>
        <v>00221465</v>
      </c>
      <c r="N355" s="2" t="str">
        <f>"20181201"</f>
        <v>20181201</v>
      </c>
      <c r="O355">
        <v>59</v>
      </c>
      <c r="P355">
        <v>4</v>
      </c>
      <c r="Q355">
        <v>601</v>
      </c>
      <c r="R355">
        <v>24</v>
      </c>
      <c r="S355" t="s">
        <v>2671</v>
      </c>
      <c r="T355" t="s">
        <v>2672</v>
      </c>
      <c r="U355" t="s">
        <v>15</v>
      </c>
      <c r="V355" t="s">
        <v>2673</v>
      </c>
      <c r="X355" t="s">
        <v>2675</v>
      </c>
      <c r="Y355" t="b">
        <f t="shared" si="5"/>
        <v>0</v>
      </c>
    </row>
    <row r="356" spans="1:25">
      <c r="A356" s="11" t="s">
        <v>9939</v>
      </c>
      <c r="B356" t="s">
        <v>16</v>
      </c>
      <c r="C356" s="2" t="s">
        <v>8336</v>
      </c>
      <c r="D356" t="s">
        <v>2677</v>
      </c>
      <c r="E356" t="s">
        <v>2676</v>
      </c>
      <c r="F356" s="20">
        <v>1</v>
      </c>
      <c r="H356" t="s">
        <v>2681</v>
      </c>
      <c r="I356">
        <v>1</v>
      </c>
      <c r="K356" t="s">
        <v>1678</v>
      </c>
      <c r="M356" t="str">
        <f>"00221465"</f>
        <v>00221465</v>
      </c>
      <c r="N356" s="2" t="str">
        <f>"20071201"</f>
        <v>20071201</v>
      </c>
      <c r="O356">
        <v>48</v>
      </c>
      <c r="P356">
        <v>4</v>
      </c>
      <c r="Q356">
        <v>404</v>
      </c>
      <c r="R356">
        <v>14</v>
      </c>
      <c r="S356" t="s">
        <v>2678</v>
      </c>
      <c r="T356" t="s">
        <v>2679</v>
      </c>
      <c r="U356" t="s">
        <v>1681</v>
      </c>
      <c r="V356" t="s">
        <v>2680</v>
      </c>
      <c r="X356" t="s">
        <v>2682</v>
      </c>
      <c r="Y356" t="b">
        <f t="shared" si="5"/>
        <v>0</v>
      </c>
    </row>
    <row r="357" spans="1:25" hidden="1">
      <c r="A357" s="11" t="s">
        <v>9939</v>
      </c>
      <c r="B357" t="s">
        <v>16</v>
      </c>
      <c r="C357" s="2" t="s">
        <v>8339</v>
      </c>
      <c r="D357" t="s">
        <v>2684</v>
      </c>
      <c r="E357" t="s">
        <v>2683</v>
      </c>
      <c r="F357" s="20">
        <v>0</v>
      </c>
      <c r="G357" s="20" t="s">
        <v>9178</v>
      </c>
      <c r="H357" t="s">
        <v>2688</v>
      </c>
      <c r="K357" t="s">
        <v>40</v>
      </c>
      <c r="M357" t="str">
        <f>"15571912"</f>
        <v>15571912</v>
      </c>
      <c r="N357" s="2" t="str">
        <f>"20150401"</f>
        <v>20150401</v>
      </c>
      <c r="O357">
        <v>17</v>
      </c>
      <c r="P357">
        <v>2</v>
      </c>
      <c r="Q357">
        <v>422</v>
      </c>
      <c r="R357">
        <v>10</v>
      </c>
      <c r="S357" t="s">
        <v>2685</v>
      </c>
      <c r="T357" t="s">
        <v>2686</v>
      </c>
      <c r="U357" t="s">
        <v>42</v>
      </c>
      <c r="V357" t="s">
        <v>2687</v>
      </c>
      <c r="X357" t="s">
        <v>2689</v>
      </c>
      <c r="Y357" t="b">
        <f t="shared" si="5"/>
        <v>0</v>
      </c>
    </row>
    <row r="358" spans="1:25" hidden="1">
      <c r="A358" s="11" t="s">
        <v>9939</v>
      </c>
      <c r="B358" t="s">
        <v>16</v>
      </c>
      <c r="C358" s="2" t="s">
        <v>8340</v>
      </c>
      <c r="D358" t="s">
        <v>2691</v>
      </c>
      <c r="E358" t="s">
        <v>2690</v>
      </c>
      <c r="F358" s="20">
        <v>0</v>
      </c>
      <c r="G358" s="20" t="s">
        <v>9178</v>
      </c>
      <c r="H358" t="s">
        <v>2695</v>
      </c>
      <c r="K358" t="s">
        <v>2634</v>
      </c>
      <c r="M358" t="str">
        <f>"19326203"</f>
        <v>19326203</v>
      </c>
      <c r="N358" s="2" t="str">
        <f>"20181102"</f>
        <v>20181102</v>
      </c>
      <c r="O358">
        <v>13</v>
      </c>
      <c r="P358">
        <v>11</v>
      </c>
      <c r="S358" t="s">
        <v>2692</v>
      </c>
      <c r="T358" t="s">
        <v>2693</v>
      </c>
      <c r="U358" t="s">
        <v>2637</v>
      </c>
      <c r="V358" t="s">
        <v>2694</v>
      </c>
      <c r="X358" t="s">
        <v>2696</v>
      </c>
      <c r="Y358" t="b">
        <f t="shared" si="5"/>
        <v>0</v>
      </c>
    </row>
    <row r="359" spans="1:25" hidden="1">
      <c r="A359" s="11" t="s">
        <v>9939</v>
      </c>
      <c r="B359" t="s">
        <v>16</v>
      </c>
      <c r="C359" s="2" t="s">
        <v>8336</v>
      </c>
      <c r="D359" t="s">
        <v>2698</v>
      </c>
      <c r="E359" t="s">
        <v>2697</v>
      </c>
      <c r="F359" s="20">
        <v>0</v>
      </c>
      <c r="G359" s="20" t="s">
        <v>9178</v>
      </c>
      <c r="H359" t="s">
        <v>2702</v>
      </c>
      <c r="K359" t="s">
        <v>1180</v>
      </c>
      <c r="M359" t="str">
        <f>"15313204"</f>
        <v>15313204</v>
      </c>
      <c r="N359" s="2" t="str">
        <f>"20070101"</f>
        <v>20070101</v>
      </c>
      <c r="O359">
        <v>16</v>
      </c>
      <c r="P359" s="1">
        <v>44228</v>
      </c>
      <c r="Q359" s="1">
        <v>1</v>
      </c>
      <c r="R359">
        <v>25</v>
      </c>
      <c r="S359" t="s">
        <v>2699</v>
      </c>
      <c r="T359" t="s">
        <v>2700</v>
      </c>
      <c r="U359" t="s">
        <v>420</v>
      </c>
      <c r="V359" t="s">
        <v>2701</v>
      </c>
      <c r="X359" t="s">
        <v>2703</v>
      </c>
      <c r="Y359" t="b">
        <f t="shared" si="5"/>
        <v>0</v>
      </c>
    </row>
    <row r="360" spans="1:25" hidden="1">
      <c r="A360" s="11" t="s">
        <v>9939</v>
      </c>
      <c r="B360" t="s">
        <v>16</v>
      </c>
      <c r="C360" s="2" t="s">
        <v>8341</v>
      </c>
      <c r="D360" t="s">
        <v>416</v>
      </c>
      <c r="E360" t="s">
        <v>2704</v>
      </c>
      <c r="F360" s="20">
        <v>0</v>
      </c>
      <c r="G360" s="20" t="s">
        <v>9178</v>
      </c>
      <c r="H360" t="s">
        <v>2708</v>
      </c>
      <c r="K360" t="s">
        <v>276</v>
      </c>
      <c r="M360" t="str">
        <f>"10927875"</f>
        <v>10927875</v>
      </c>
      <c r="N360" s="2" t="str">
        <f>"20090901"</f>
        <v>20090901</v>
      </c>
      <c r="O360">
        <v>13</v>
      </c>
      <c r="P360">
        <v>5</v>
      </c>
      <c r="Q360">
        <v>641</v>
      </c>
      <c r="R360">
        <v>11</v>
      </c>
      <c r="S360" t="s">
        <v>2705</v>
      </c>
      <c r="T360" t="s">
        <v>2706</v>
      </c>
      <c r="U360" t="s">
        <v>42</v>
      </c>
      <c r="V360" t="s">
        <v>2707</v>
      </c>
      <c r="X360" t="s">
        <v>2709</v>
      </c>
      <c r="Y360" t="b">
        <f t="shared" si="5"/>
        <v>0</v>
      </c>
    </row>
    <row r="361" spans="1:25" hidden="1">
      <c r="A361" s="11" t="s">
        <v>9939</v>
      </c>
      <c r="B361" t="s">
        <v>16</v>
      </c>
      <c r="C361" s="2" t="s">
        <v>8341</v>
      </c>
      <c r="D361" t="s">
        <v>2711</v>
      </c>
      <c r="E361" t="s">
        <v>2710</v>
      </c>
      <c r="F361" s="20">
        <v>0</v>
      </c>
      <c r="G361" s="20" t="s">
        <v>9950</v>
      </c>
      <c r="H361" t="s">
        <v>2715</v>
      </c>
      <c r="K361" t="s">
        <v>140</v>
      </c>
      <c r="M361" t="str">
        <f>"02779536"</f>
        <v>02779536</v>
      </c>
      <c r="N361" s="2" t="str">
        <f>"20090601"</f>
        <v>20090601</v>
      </c>
      <c r="O361">
        <v>68</v>
      </c>
      <c r="P361">
        <v>12</v>
      </c>
      <c r="Q361">
        <v>2097</v>
      </c>
      <c r="R361">
        <v>7</v>
      </c>
      <c r="S361" t="s">
        <v>2712</v>
      </c>
      <c r="T361" t="s">
        <v>2713</v>
      </c>
      <c r="U361" t="s">
        <v>34</v>
      </c>
      <c r="V361" t="s">
        <v>2714</v>
      </c>
      <c r="X361" t="s">
        <v>2716</v>
      </c>
      <c r="Y361" t="b">
        <f t="shared" si="5"/>
        <v>0</v>
      </c>
    </row>
    <row r="362" spans="1:25" hidden="1">
      <c r="A362" s="11" t="s">
        <v>9939</v>
      </c>
      <c r="B362" t="s">
        <v>69</v>
      </c>
      <c r="C362" s="2" t="s">
        <v>8334</v>
      </c>
      <c r="D362" t="s">
        <v>2718</v>
      </c>
      <c r="E362" t="s">
        <v>2717</v>
      </c>
      <c r="H362" t="s">
        <v>2721</v>
      </c>
      <c r="K362" t="s">
        <v>101</v>
      </c>
      <c r="L362" t="str">
        <f>"9781303514289"</f>
        <v>9781303514289</v>
      </c>
      <c r="M362" t="str">
        <f>"04194217"</f>
        <v>04194217</v>
      </c>
      <c r="N362" s="2" t="str">
        <f>"20140101"</f>
        <v>20140101</v>
      </c>
      <c r="O362">
        <v>75</v>
      </c>
      <c r="P362" t="s">
        <v>516</v>
      </c>
      <c r="S362" t="s">
        <v>2719</v>
      </c>
      <c r="U362" t="s">
        <v>68</v>
      </c>
      <c r="V362" t="s">
        <v>2720</v>
      </c>
      <c r="X362" t="s">
        <v>2722</v>
      </c>
      <c r="Y362" t="b">
        <f t="shared" si="5"/>
        <v>1</v>
      </c>
    </row>
    <row r="363" spans="1:25" hidden="1">
      <c r="A363" s="11" t="s">
        <v>9939</v>
      </c>
      <c r="B363" t="s">
        <v>69</v>
      </c>
      <c r="C363" s="2" t="s">
        <v>8337</v>
      </c>
      <c r="D363" t="s">
        <v>2724</v>
      </c>
      <c r="E363" t="s">
        <v>2723</v>
      </c>
      <c r="H363" t="s">
        <v>2727</v>
      </c>
      <c r="K363" t="s">
        <v>101</v>
      </c>
      <c r="L363" t="str">
        <f>"9781267499448"</f>
        <v>9781267499448</v>
      </c>
      <c r="M363" t="str">
        <f>"04194217"</f>
        <v>04194217</v>
      </c>
      <c r="N363" s="2" t="str">
        <f>"20130101"</f>
        <v>20130101</v>
      </c>
      <c r="O363">
        <v>73</v>
      </c>
      <c r="P363" t="s">
        <v>1324</v>
      </c>
      <c r="S363" t="s">
        <v>2725</v>
      </c>
      <c r="U363" t="s">
        <v>68</v>
      </c>
      <c r="V363" t="s">
        <v>2726</v>
      </c>
      <c r="X363" t="s">
        <v>2728</v>
      </c>
      <c r="Y363" t="b">
        <f t="shared" si="5"/>
        <v>1</v>
      </c>
    </row>
    <row r="364" spans="1:25">
      <c r="A364" s="11" t="s">
        <v>9939</v>
      </c>
      <c r="B364" t="s">
        <v>16</v>
      </c>
      <c r="C364" s="2" t="s">
        <v>8344</v>
      </c>
      <c r="D364" t="s">
        <v>2730</v>
      </c>
      <c r="E364" t="s">
        <v>2729</v>
      </c>
      <c r="F364" s="20">
        <v>1</v>
      </c>
      <c r="H364" t="s">
        <v>2734</v>
      </c>
      <c r="I364">
        <v>1</v>
      </c>
      <c r="K364" t="s">
        <v>470</v>
      </c>
      <c r="M364" t="str">
        <f>"00029432"</f>
        <v>00029432</v>
      </c>
      <c r="N364" s="2" t="str">
        <f>"20101001"</f>
        <v>20101001</v>
      </c>
      <c r="O364">
        <v>80</v>
      </c>
      <c r="P364">
        <v>4</v>
      </c>
      <c r="Q364">
        <v>564</v>
      </c>
      <c r="R364">
        <v>12</v>
      </c>
      <c r="S364" t="s">
        <v>2731</v>
      </c>
      <c r="T364" t="s">
        <v>2732</v>
      </c>
      <c r="U364" t="s">
        <v>730</v>
      </c>
      <c r="V364" t="s">
        <v>2733</v>
      </c>
      <c r="X364" t="s">
        <v>2735</v>
      </c>
      <c r="Y364" t="b">
        <f t="shared" si="5"/>
        <v>0</v>
      </c>
    </row>
    <row r="365" spans="1:25" hidden="1">
      <c r="A365" s="11" t="s">
        <v>9939</v>
      </c>
      <c r="B365" t="s">
        <v>16</v>
      </c>
      <c r="C365" s="2" t="s">
        <v>8334</v>
      </c>
      <c r="D365" t="s">
        <v>2737</v>
      </c>
      <c r="E365" t="s">
        <v>2736</v>
      </c>
      <c r="F365" s="20">
        <v>0</v>
      </c>
      <c r="G365" s="20" t="s">
        <v>9178</v>
      </c>
      <c r="H365" t="s">
        <v>2741</v>
      </c>
      <c r="K365" t="s">
        <v>40</v>
      </c>
      <c r="M365" t="str">
        <f>"15571912"</f>
        <v>15571912</v>
      </c>
      <c r="N365" s="2" t="str">
        <f>"20141201"</f>
        <v>20141201</v>
      </c>
      <c r="O365">
        <v>16</v>
      </c>
      <c r="P365">
        <v>6</v>
      </c>
      <c r="Q365">
        <v>1157</v>
      </c>
      <c r="R365">
        <v>10</v>
      </c>
      <c r="S365" t="s">
        <v>2738</v>
      </c>
      <c r="T365" t="s">
        <v>2739</v>
      </c>
      <c r="U365" t="s">
        <v>42</v>
      </c>
      <c r="V365" t="s">
        <v>2740</v>
      </c>
      <c r="X365" t="s">
        <v>2742</v>
      </c>
      <c r="Y365" t="b">
        <f t="shared" si="5"/>
        <v>0</v>
      </c>
    </row>
    <row r="366" spans="1:25">
      <c r="A366" s="11" t="s">
        <v>9939</v>
      </c>
      <c r="B366" t="s">
        <v>16</v>
      </c>
      <c r="C366" s="2" t="s">
        <v>8334</v>
      </c>
      <c r="D366" t="s">
        <v>2744</v>
      </c>
      <c r="E366" t="s">
        <v>2743</v>
      </c>
      <c r="F366" s="20">
        <v>1</v>
      </c>
      <c r="G366" s="20"/>
      <c r="H366" t="s">
        <v>2748</v>
      </c>
      <c r="I366">
        <v>0</v>
      </c>
      <c r="J366" t="s">
        <v>9265</v>
      </c>
      <c r="K366" t="s">
        <v>347</v>
      </c>
      <c r="M366" t="str">
        <f>"00900036"</f>
        <v>00900036</v>
      </c>
      <c r="N366" s="2" t="str">
        <f>"20140801"</f>
        <v>20140801</v>
      </c>
      <c r="O366">
        <v>104</v>
      </c>
      <c r="P366">
        <v>8</v>
      </c>
      <c r="Q366">
        <v>1421</v>
      </c>
      <c r="R366">
        <v>8</v>
      </c>
      <c r="S366" t="s">
        <v>2745</v>
      </c>
      <c r="T366" t="s">
        <v>2746</v>
      </c>
      <c r="U366" t="s">
        <v>350</v>
      </c>
      <c r="V366" t="s">
        <v>2747</v>
      </c>
      <c r="X366" t="s">
        <v>2749</v>
      </c>
      <c r="Y366" t="b">
        <f t="shared" si="5"/>
        <v>0</v>
      </c>
    </row>
    <row r="367" spans="1:25">
      <c r="A367" s="11" t="s">
        <v>9939</v>
      </c>
      <c r="B367" t="s">
        <v>16</v>
      </c>
      <c r="C367" s="2" t="s">
        <v>8341</v>
      </c>
      <c r="D367" t="s">
        <v>2751</v>
      </c>
      <c r="E367" t="s">
        <v>2750</v>
      </c>
      <c r="F367" s="20">
        <v>1</v>
      </c>
      <c r="H367" t="s">
        <v>2755</v>
      </c>
      <c r="I367">
        <v>1</v>
      </c>
      <c r="K367" t="s">
        <v>48</v>
      </c>
      <c r="M367" t="str">
        <f>"07399863"</f>
        <v>07399863</v>
      </c>
      <c r="N367" s="2" t="str">
        <f>"20090201"</f>
        <v>20090201</v>
      </c>
      <c r="O367">
        <v>31</v>
      </c>
      <c r="P367">
        <v>1</v>
      </c>
      <c r="Q367">
        <v>96</v>
      </c>
      <c r="R367">
        <v>16</v>
      </c>
      <c r="S367" t="s">
        <v>2752</v>
      </c>
      <c r="T367" t="s">
        <v>2753</v>
      </c>
      <c r="U367" t="s">
        <v>15</v>
      </c>
      <c r="V367" t="s">
        <v>2754</v>
      </c>
      <c r="X367" t="s">
        <v>2756</v>
      </c>
      <c r="Y367" t="b">
        <f t="shared" si="5"/>
        <v>0</v>
      </c>
    </row>
    <row r="368" spans="1:25" hidden="1">
      <c r="A368" s="11" t="s">
        <v>9939</v>
      </c>
      <c r="B368" t="s">
        <v>16</v>
      </c>
      <c r="C368" s="2" t="s">
        <v>8344</v>
      </c>
      <c r="D368" t="s">
        <v>2758</v>
      </c>
      <c r="E368" t="s">
        <v>2757</v>
      </c>
      <c r="F368" s="20">
        <v>0</v>
      </c>
      <c r="G368" s="20" t="s">
        <v>9178</v>
      </c>
      <c r="H368" t="s">
        <v>2763</v>
      </c>
      <c r="K368" t="s">
        <v>2759</v>
      </c>
      <c r="M368" t="str">
        <f>"00219320"</f>
        <v>00219320</v>
      </c>
      <c r="N368" s="2" t="str">
        <f>"20100701"</f>
        <v>20100701</v>
      </c>
      <c r="O368">
        <v>42</v>
      </c>
      <c r="P368">
        <v>4</v>
      </c>
      <c r="Q368">
        <v>433</v>
      </c>
      <c r="R368">
        <v>29</v>
      </c>
      <c r="S368" t="s">
        <v>2760</v>
      </c>
      <c r="T368" t="s">
        <v>2761</v>
      </c>
      <c r="U368" t="s">
        <v>333</v>
      </c>
      <c r="V368" t="s">
        <v>2762</v>
      </c>
      <c r="X368" t="s">
        <v>2764</v>
      </c>
      <c r="Y368" t="b">
        <f t="shared" si="5"/>
        <v>0</v>
      </c>
    </row>
    <row r="369" spans="1:25">
      <c r="A369" s="11" t="s">
        <v>9939</v>
      </c>
      <c r="B369" t="s">
        <v>16</v>
      </c>
      <c r="C369" s="2" t="s">
        <v>8342</v>
      </c>
      <c r="D369" t="s">
        <v>2766</v>
      </c>
      <c r="E369" t="s">
        <v>2765</v>
      </c>
      <c r="F369" s="20">
        <v>1</v>
      </c>
      <c r="H369" t="s">
        <v>2770</v>
      </c>
      <c r="I369">
        <v>1</v>
      </c>
      <c r="K369" t="s">
        <v>40</v>
      </c>
      <c r="M369" t="str">
        <f>"15571912"</f>
        <v>15571912</v>
      </c>
      <c r="N369" s="2" t="str">
        <f>"20121001"</f>
        <v>20121001</v>
      </c>
      <c r="O369">
        <v>14</v>
      </c>
      <c r="P369">
        <v>5</v>
      </c>
      <c r="Q369">
        <v>786</v>
      </c>
      <c r="R369">
        <v>11</v>
      </c>
      <c r="S369" t="s">
        <v>2767</v>
      </c>
      <c r="T369" t="s">
        <v>2768</v>
      </c>
      <c r="U369" t="s">
        <v>42</v>
      </c>
      <c r="V369" t="s">
        <v>2769</v>
      </c>
      <c r="X369" t="s">
        <v>2771</v>
      </c>
      <c r="Y369" t="b">
        <f t="shared" si="5"/>
        <v>0</v>
      </c>
    </row>
    <row r="370" spans="1:25">
      <c r="A370" s="11" t="s">
        <v>9939</v>
      </c>
      <c r="B370" t="s">
        <v>16</v>
      </c>
      <c r="C370" s="2" t="s">
        <v>8340</v>
      </c>
      <c r="D370" t="s">
        <v>2773</v>
      </c>
      <c r="E370" t="s">
        <v>2772</v>
      </c>
      <c r="F370" s="20">
        <v>1</v>
      </c>
      <c r="H370" t="s">
        <v>2778</v>
      </c>
      <c r="I370">
        <v>1</v>
      </c>
      <c r="K370" t="s">
        <v>2774</v>
      </c>
      <c r="M370" t="str">
        <f>"00222445"</f>
        <v>00222445</v>
      </c>
      <c r="N370" s="2" t="str">
        <f>"20180201"</f>
        <v>20180201</v>
      </c>
      <c r="O370">
        <v>80</v>
      </c>
      <c r="P370">
        <v>1</v>
      </c>
      <c r="Q370">
        <v>271</v>
      </c>
      <c r="R370">
        <v>18</v>
      </c>
      <c r="S370" t="s">
        <v>2775</v>
      </c>
      <c r="T370" t="s">
        <v>2776</v>
      </c>
      <c r="U370" t="s">
        <v>730</v>
      </c>
      <c r="V370" t="s">
        <v>2777</v>
      </c>
      <c r="X370" t="s">
        <v>2779</v>
      </c>
      <c r="Y370" t="b">
        <f t="shared" si="5"/>
        <v>0</v>
      </c>
    </row>
    <row r="371" spans="1:25">
      <c r="A371" s="11" t="s">
        <v>9939</v>
      </c>
      <c r="B371" t="s">
        <v>16</v>
      </c>
      <c r="C371" s="2" t="s">
        <v>8349</v>
      </c>
      <c r="D371" t="s">
        <v>2781</v>
      </c>
      <c r="E371" t="s">
        <v>2780</v>
      </c>
      <c r="F371" s="20">
        <v>1</v>
      </c>
      <c r="H371" t="s">
        <v>2785</v>
      </c>
      <c r="I371">
        <v>0</v>
      </c>
      <c r="J371" t="s">
        <v>9249</v>
      </c>
      <c r="K371" t="s">
        <v>2037</v>
      </c>
      <c r="M371" t="str">
        <f>"00223514"</f>
        <v>00223514</v>
      </c>
      <c r="N371" s="2" t="str">
        <f>"20191001"</f>
        <v>20191001</v>
      </c>
      <c r="O371">
        <v>117</v>
      </c>
      <c r="P371">
        <v>4</v>
      </c>
      <c r="Q371">
        <v>807</v>
      </c>
      <c r="R371">
        <v>32</v>
      </c>
      <c r="S371" t="s">
        <v>2782</v>
      </c>
      <c r="T371" t="s">
        <v>2783</v>
      </c>
      <c r="U371" t="s">
        <v>59</v>
      </c>
      <c r="V371" t="s">
        <v>2784</v>
      </c>
      <c r="X371" t="s">
        <v>2786</v>
      </c>
      <c r="Y371" t="b">
        <f t="shared" si="5"/>
        <v>0</v>
      </c>
    </row>
    <row r="372" spans="1:25" hidden="1">
      <c r="A372" s="11" t="s">
        <v>9939</v>
      </c>
      <c r="B372" t="s">
        <v>69</v>
      </c>
      <c r="C372" s="2" t="s">
        <v>8346</v>
      </c>
      <c r="D372" t="s">
        <v>2788</v>
      </c>
      <c r="E372" t="s">
        <v>2787</v>
      </c>
      <c r="F372" s="20">
        <v>0</v>
      </c>
      <c r="G372" t="s">
        <v>8751</v>
      </c>
      <c r="H372" t="s">
        <v>2791</v>
      </c>
      <c r="K372" t="s">
        <v>101</v>
      </c>
      <c r="L372" t="str">
        <f>"9781124284316"</f>
        <v>9781124284316</v>
      </c>
      <c r="M372" t="str">
        <f>"04194217"</f>
        <v>04194217</v>
      </c>
      <c r="N372" s="2" t="str">
        <f>"20110101"</f>
        <v>20110101</v>
      </c>
      <c r="O372">
        <v>71</v>
      </c>
      <c r="P372" t="s">
        <v>530</v>
      </c>
      <c r="Q372">
        <v>7075</v>
      </c>
      <c r="R372">
        <v>1</v>
      </c>
      <c r="S372" t="s">
        <v>2789</v>
      </c>
      <c r="U372" t="s">
        <v>68</v>
      </c>
      <c r="V372" t="s">
        <v>2790</v>
      </c>
      <c r="X372" t="s">
        <v>2792</v>
      </c>
      <c r="Y372" t="b">
        <f t="shared" si="5"/>
        <v>0</v>
      </c>
    </row>
    <row r="373" spans="1:25" hidden="1">
      <c r="A373" s="11" t="s">
        <v>9939</v>
      </c>
      <c r="B373" t="s">
        <v>16</v>
      </c>
      <c r="C373" s="2" t="s">
        <v>8343</v>
      </c>
      <c r="D373" t="s">
        <v>2794</v>
      </c>
      <c r="E373" t="s">
        <v>2793</v>
      </c>
      <c r="H373" t="s">
        <v>2799</v>
      </c>
      <c r="K373" t="s">
        <v>2795</v>
      </c>
      <c r="M373" t="str">
        <f>"01674544"</f>
        <v>01674544</v>
      </c>
      <c r="N373" s="2" t="str">
        <f>"20170601"</f>
        <v>20170601</v>
      </c>
      <c r="O373">
        <v>143</v>
      </c>
      <c r="P373">
        <v>2</v>
      </c>
      <c r="Q373">
        <v>387</v>
      </c>
      <c r="R373">
        <v>18</v>
      </c>
      <c r="S373" t="s">
        <v>2796</v>
      </c>
      <c r="T373" t="s">
        <v>2797</v>
      </c>
      <c r="U373" t="s">
        <v>42</v>
      </c>
      <c r="V373" t="s">
        <v>2798</v>
      </c>
      <c r="X373" t="s">
        <v>2800</v>
      </c>
      <c r="Y373" t="b">
        <f t="shared" si="5"/>
        <v>1</v>
      </c>
    </row>
    <row r="374" spans="1:25">
      <c r="A374" s="11" t="s">
        <v>9939</v>
      </c>
      <c r="B374" t="s">
        <v>16</v>
      </c>
      <c r="C374" s="2" t="s">
        <v>8342</v>
      </c>
      <c r="D374" t="s">
        <v>2802</v>
      </c>
      <c r="E374" t="s">
        <v>2801</v>
      </c>
      <c r="F374" s="20">
        <v>1</v>
      </c>
      <c r="H374" t="s">
        <v>2807</v>
      </c>
      <c r="I374">
        <v>1</v>
      </c>
      <c r="K374" t="s">
        <v>2803</v>
      </c>
      <c r="M374" t="str">
        <f>"0167482X"</f>
        <v>0167482X</v>
      </c>
      <c r="N374" s="2" t="str">
        <f>"20120601"</f>
        <v>20120601</v>
      </c>
      <c r="O374">
        <v>33</v>
      </c>
      <c r="P374">
        <v>2</v>
      </c>
      <c r="Q374">
        <v>78</v>
      </c>
      <c r="R374">
        <v>7</v>
      </c>
      <c r="S374" t="s">
        <v>2804</v>
      </c>
      <c r="T374" t="s">
        <v>2805</v>
      </c>
      <c r="U374" t="s">
        <v>1227</v>
      </c>
      <c r="V374" t="s">
        <v>2806</v>
      </c>
      <c r="X374" t="s">
        <v>2808</v>
      </c>
      <c r="Y374" t="b">
        <f t="shared" si="5"/>
        <v>0</v>
      </c>
    </row>
    <row r="375" spans="1:25" hidden="1">
      <c r="A375" s="11" t="s">
        <v>9939</v>
      </c>
      <c r="B375" t="s">
        <v>16</v>
      </c>
      <c r="C375" s="2" t="s">
        <v>8340</v>
      </c>
      <c r="D375" t="s">
        <v>2810</v>
      </c>
      <c r="E375" t="s">
        <v>2809</v>
      </c>
      <c r="H375" t="s">
        <v>2814</v>
      </c>
      <c r="K375" t="s">
        <v>252</v>
      </c>
      <c r="M375" t="str">
        <f>"00220221"</f>
        <v>00220221</v>
      </c>
      <c r="N375" s="2" t="str">
        <f>"20180501"</f>
        <v>20180501</v>
      </c>
      <c r="O375">
        <v>49</v>
      </c>
      <c r="P375">
        <v>4</v>
      </c>
      <c r="Q375">
        <v>618</v>
      </c>
      <c r="R375">
        <v>17</v>
      </c>
      <c r="S375" t="s">
        <v>2811</v>
      </c>
      <c r="T375" t="s">
        <v>2812</v>
      </c>
      <c r="U375" t="s">
        <v>15</v>
      </c>
      <c r="V375" t="s">
        <v>2813</v>
      </c>
      <c r="X375" t="s">
        <v>2815</v>
      </c>
      <c r="Y375" t="b">
        <f t="shared" si="5"/>
        <v>1</v>
      </c>
    </row>
    <row r="376" spans="1:25">
      <c r="A376" s="11" t="s">
        <v>9939</v>
      </c>
      <c r="B376" t="s">
        <v>16</v>
      </c>
      <c r="C376" s="2" t="s">
        <v>8342</v>
      </c>
      <c r="D376" t="s">
        <v>2817</v>
      </c>
      <c r="E376" t="s">
        <v>2816</v>
      </c>
      <c r="F376" s="20">
        <v>1</v>
      </c>
      <c r="H376" t="s">
        <v>2822</v>
      </c>
      <c r="I376">
        <v>1</v>
      </c>
      <c r="K376" t="s">
        <v>2818</v>
      </c>
      <c r="M376" t="str">
        <f>"08933189"</f>
        <v>08933189</v>
      </c>
      <c r="N376" s="2" t="str">
        <f>"20120501"</f>
        <v>20120501</v>
      </c>
      <c r="O376">
        <v>26</v>
      </c>
      <c r="P376">
        <v>2</v>
      </c>
      <c r="Q376">
        <v>295</v>
      </c>
      <c r="R376">
        <v>27</v>
      </c>
      <c r="S376" t="s">
        <v>2819</v>
      </c>
      <c r="T376" t="s">
        <v>2820</v>
      </c>
      <c r="U376" t="s">
        <v>15</v>
      </c>
      <c r="V376" t="s">
        <v>2821</v>
      </c>
      <c r="X376" t="s">
        <v>2823</v>
      </c>
      <c r="Y376" t="b">
        <f t="shared" si="5"/>
        <v>0</v>
      </c>
    </row>
    <row r="377" spans="1:25" hidden="1">
      <c r="A377" s="11" t="s">
        <v>9939</v>
      </c>
      <c r="B377" t="s">
        <v>16</v>
      </c>
      <c r="C377" s="2" t="s">
        <v>8344</v>
      </c>
      <c r="D377" t="s">
        <v>2825</v>
      </c>
      <c r="E377" t="s">
        <v>2824</v>
      </c>
      <c r="H377" t="s">
        <v>2830</v>
      </c>
      <c r="K377" t="s">
        <v>2826</v>
      </c>
      <c r="M377" t="str">
        <f>"18344909"</f>
        <v>18344909</v>
      </c>
      <c r="N377" s="2" t="str">
        <f>"20100501"</f>
        <v>20100501</v>
      </c>
      <c r="O377">
        <v>4</v>
      </c>
      <c r="P377">
        <v>1</v>
      </c>
      <c r="Q377">
        <v>44</v>
      </c>
      <c r="R377">
        <v>9</v>
      </c>
      <c r="S377" t="s">
        <v>2827</v>
      </c>
      <c r="T377" t="s">
        <v>2828</v>
      </c>
      <c r="U377" t="s">
        <v>333</v>
      </c>
      <c r="V377" t="s">
        <v>2829</v>
      </c>
      <c r="X377" t="s">
        <v>2831</v>
      </c>
      <c r="Y377" t="b">
        <f t="shared" si="5"/>
        <v>1</v>
      </c>
    </row>
    <row r="378" spans="1:25">
      <c r="A378" s="11" t="s">
        <v>9939</v>
      </c>
      <c r="B378" t="s">
        <v>16</v>
      </c>
      <c r="C378" s="2" t="s">
        <v>8339</v>
      </c>
      <c r="D378" t="s">
        <v>2833</v>
      </c>
      <c r="E378" t="s">
        <v>2832</v>
      </c>
      <c r="F378" s="20">
        <v>1</v>
      </c>
      <c r="H378" t="s">
        <v>2839</v>
      </c>
      <c r="I378">
        <v>1</v>
      </c>
      <c r="K378" t="s">
        <v>2834</v>
      </c>
      <c r="M378" t="str">
        <f>"0143005X"</f>
        <v>0143005X</v>
      </c>
      <c r="N378" s="2" t="str">
        <f>"20150801"</f>
        <v>20150801</v>
      </c>
      <c r="O378">
        <v>69</v>
      </c>
      <c r="P378">
        <v>8</v>
      </c>
      <c r="Q378">
        <v>724</v>
      </c>
      <c r="R378">
        <v>8</v>
      </c>
      <c r="S378" t="s">
        <v>2835</v>
      </c>
      <c r="T378" t="s">
        <v>2836</v>
      </c>
      <c r="U378" t="s">
        <v>2837</v>
      </c>
      <c r="V378" t="s">
        <v>2838</v>
      </c>
      <c r="X378" t="s">
        <v>2840</v>
      </c>
      <c r="Y378" t="b">
        <f t="shared" si="5"/>
        <v>0</v>
      </c>
    </row>
    <row r="379" spans="1:25" hidden="1">
      <c r="A379" s="11" t="s">
        <v>9939</v>
      </c>
      <c r="B379" t="s">
        <v>16</v>
      </c>
      <c r="C379" s="2" t="s">
        <v>8345</v>
      </c>
      <c r="D379" t="s">
        <v>2842</v>
      </c>
      <c r="E379" t="s">
        <v>2841</v>
      </c>
      <c r="F379" s="20">
        <v>0</v>
      </c>
      <c r="G379" t="s">
        <v>9249</v>
      </c>
      <c r="H379" t="s">
        <v>2846</v>
      </c>
      <c r="K379" t="s">
        <v>132</v>
      </c>
      <c r="M379" t="str">
        <f>"01471767"</f>
        <v>01471767</v>
      </c>
      <c r="N379" s="2" t="str">
        <f>"20200301"</f>
        <v>20200301</v>
      </c>
      <c r="O379">
        <v>75</v>
      </c>
      <c r="Q379">
        <v>1</v>
      </c>
      <c r="R379">
        <v>9</v>
      </c>
      <c r="S379" t="s">
        <v>2843</v>
      </c>
      <c r="T379" t="s">
        <v>2844</v>
      </c>
      <c r="U379" t="s">
        <v>34</v>
      </c>
      <c r="V379" t="s">
        <v>2845</v>
      </c>
      <c r="X379" t="s">
        <v>2847</v>
      </c>
      <c r="Y379" t="b">
        <f t="shared" si="5"/>
        <v>0</v>
      </c>
    </row>
    <row r="380" spans="1:25" hidden="1">
      <c r="A380" s="11" t="s">
        <v>9939</v>
      </c>
      <c r="B380" t="s">
        <v>16</v>
      </c>
      <c r="C380" s="2" t="s">
        <v>8337</v>
      </c>
      <c r="D380" t="s">
        <v>2849</v>
      </c>
      <c r="E380" t="s">
        <v>2848</v>
      </c>
      <c r="F380" s="20">
        <v>0</v>
      </c>
      <c r="G380" s="20" t="s">
        <v>9178</v>
      </c>
      <c r="H380" t="s">
        <v>2853</v>
      </c>
      <c r="K380" t="s">
        <v>40</v>
      </c>
      <c r="M380" t="str">
        <f>"15571912"</f>
        <v>15571912</v>
      </c>
      <c r="N380" s="2" t="str">
        <f>"20130601"</f>
        <v>20130601</v>
      </c>
      <c r="O380">
        <v>15</v>
      </c>
      <c r="P380">
        <v>3</v>
      </c>
      <c r="Q380">
        <v>624</v>
      </c>
      <c r="R380">
        <v>12</v>
      </c>
      <c r="S380" t="s">
        <v>2850</v>
      </c>
      <c r="T380" t="s">
        <v>2851</v>
      </c>
      <c r="U380" t="s">
        <v>42</v>
      </c>
      <c r="V380" t="s">
        <v>2852</v>
      </c>
      <c r="X380" t="s">
        <v>2854</v>
      </c>
      <c r="Y380" t="b">
        <f t="shared" si="5"/>
        <v>0</v>
      </c>
    </row>
    <row r="381" spans="1:25">
      <c r="A381" s="11" t="s">
        <v>9939</v>
      </c>
      <c r="B381" t="s">
        <v>69</v>
      </c>
      <c r="C381" s="2" t="s">
        <v>8346</v>
      </c>
      <c r="D381" t="s">
        <v>2856</v>
      </c>
      <c r="E381" t="s">
        <v>2855</v>
      </c>
      <c r="F381" s="20">
        <v>1</v>
      </c>
      <c r="H381" t="s">
        <v>2860</v>
      </c>
      <c r="I381">
        <v>1</v>
      </c>
      <c r="K381" t="s">
        <v>101</v>
      </c>
      <c r="L381" t="str">
        <f>"9781124079288"</f>
        <v>9781124079288</v>
      </c>
      <c r="M381" t="str">
        <f>"04194217"</f>
        <v>04194217</v>
      </c>
      <c r="N381" s="2" t="str">
        <f>"20110101"</f>
        <v>20110101</v>
      </c>
      <c r="O381">
        <v>71</v>
      </c>
      <c r="P381" t="s">
        <v>2857</v>
      </c>
      <c r="Q381">
        <v>5143</v>
      </c>
      <c r="R381">
        <v>1</v>
      </c>
      <c r="S381" t="s">
        <v>2858</v>
      </c>
      <c r="U381" t="s">
        <v>68</v>
      </c>
      <c r="V381" t="s">
        <v>2859</v>
      </c>
      <c r="X381" t="s">
        <v>2861</v>
      </c>
      <c r="Y381" t="b">
        <f t="shared" si="5"/>
        <v>0</v>
      </c>
    </row>
    <row r="382" spans="1:25" hidden="1">
      <c r="A382" s="11" t="s">
        <v>9939</v>
      </c>
      <c r="B382" t="s">
        <v>16</v>
      </c>
      <c r="C382" s="2" t="s">
        <v>8339</v>
      </c>
      <c r="D382" t="s">
        <v>2863</v>
      </c>
      <c r="E382" t="s">
        <v>2862</v>
      </c>
      <c r="F382" s="20">
        <v>0</v>
      </c>
      <c r="G382" s="20" t="s">
        <v>9950</v>
      </c>
      <c r="H382" t="s">
        <v>2867</v>
      </c>
      <c r="K382" t="s">
        <v>2180</v>
      </c>
      <c r="M382" t="str">
        <f>"09337954"</f>
        <v>09337954</v>
      </c>
      <c r="N382" s="2" t="str">
        <f>"20150201"</f>
        <v>20150201</v>
      </c>
      <c r="O382">
        <v>50</v>
      </c>
      <c r="P382">
        <v>2</v>
      </c>
      <c r="Q382">
        <v>257</v>
      </c>
      <c r="R382">
        <v>11</v>
      </c>
      <c r="S382" t="s">
        <v>2864</v>
      </c>
      <c r="T382" t="s">
        <v>2865</v>
      </c>
      <c r="U382" t="s">
        <v>42</v>
      </c>
      <c r="V382" t="s">
        <v>2866</v>
      </c>
      <c r="X382" t="s">
        <v>2868</v>
      </c>
      <c r="Y382" t="b">
        <f t="shared" si="5"/>
        <v>0</v>
      </c>
    </row>
    <row r="383" spans="1:25">
      <c r="A383" s="11" t="s">
        <v>9939</v>
      </c>
      <c r="B383" t="s">
        <v>16</v>
      </c>
      <c r="C383" s="2" t="s">
        <v>8342</v>
      </c>
      <c r="D383" t="s">
        <v>2870</v>
      </c>
      <c r="E383" t="s">
        <v>2869</v>
      </c>
      <c r="F383" s="20">
        <v>1</v>
      </c>
      <c r="H383" t="s">
        <v>2874</v>
      </c>
      <c r="I383">
        <v>0</v>
      </c>
      <c r="J383" t="s">
        <v>9265</v>
      </c>
      <c r="K383" t="s">
        <v>140</v>
      </c>
      <c r="M383" t="str">
        <f>"02779536"</f>
        <v>02779536</v>
      </c>
      <c r="N383" s="2" t="str">
        <f>"20120701"</f>
        <v>20120701</v>
      </c>
      <c r="O383">
        <v>75</v>
      </c>
      <c r="P383">
        <v>2</v>
      </c>
      <c r="Q383">
        <v>300</v>
      </c>
      <c r="R383">
        <v>11</v>
      </c>
      <c r="S383" t="s">
        <v>2871</v>
      </c>
      <c r="T383" t="s">
        <v>2872</v>
      </c>
      <c r="U383" t="s">
        <v>34</v>
      </c>
      <c r="V383" t="s">
        <v>2873</v>
      </c>
      <c r="X383" t="s">
        <v>2875</v>
      </c>
      <c r="Y383" t="b">
        <f t="shared" si="5"/>
        <v>0</v>
      </c>
    </row>
    <row r="384" spans="1:25" hidden="1">
      <c r="A384" s="11" t="s">
        <v>9939</v>
      </c>
      <c r="B384" t="s">
        <v>16</v>
      </c>
      <c r="C384" s="2" t="s">
        <v>8339</v>
      </c>
      <c r="D384" t="s">
        <v>2877</v>
      </c>
      <c r="E384" t="s">
        <v>2876</v>
      </c>
      <c r="H384" t="s">
        <v>2882</v>
      </c>
      <c r="K384" t="s">
        <v>2878</v>
      </c>
      <c r="M384" t="str">
        <f>"15404153"</f>
        <v>15404153</v>
      </c>
      <c r="N384" s="2" t="str">
        <f>"20150101"</f>
        <v>20150101</v>
      </c>
      <c r="O384">
        <v>13</v>
      </c>
      <c r="P384">
        <v>3</v>
      </c>
      <c r="Q384">
        <v>119</v>
      </c>
      <c r="R384">
        <v>12</v>
      </c>
      <c r="S384" t="s">
        <v>2879</v>
      </c>
      <c r="T384" t="s">
        <v>2880</v>
      </c>
      <c r="U384" t="s">
        <v>1424</v>
      </c>
      <c r="V384" t="s">
        <v>2881</v>
      </c>
      <c r="X384" t="s">
        <v>2883</v>
      </c>
      <c r="Y384" t="b">
        <f t="shared" si="5"/>
        <v>1</v>
      </c>
    </row>
    <row r="385" spans="1:25">
      <c r="A385" s="11" t="s">
        <v>9939</v>
      </c>
      <c r="B385" t="s">
        <v>16</v>
      </c>
      <c r="C385" s="2" t="s">
        <v>8346</v>
      </c>
      <c r="D385" t="s">
        <v>2885</v>
      </c>
      <c r="E385" t="s">
        <v>2884</v>
      </c>
      <c r="F385" s="20">
        <v>1</v>
      </c>
      <c r="H385" t="s">
        <v>2889</v>
      </c>
      <c r="I385">
        <v>1</v>
      </c>
      <c r="K385" t="s">
        <v>132</v>
      </c>
      <c r="M385" t="str">
        <f>"01471767"</f>
        <v>01471767</v>
      </c>
      <c r="N385" s="2" t="str">
        <f>"20110101"</f>
        <v>20110101</v>
      </c>
      <c r="O385">
        <v>35</v>
      </c>
      <c r="P385">
        <v>1</v>
      </c>
      <c r="Q385">
        <v>31</v>
      </c>
      <c r="R385">
        <v>10</v>
      </c>
      <c r="S385" t="s">
        <v>2886</v>
      </c>
      <c r="T385" t="s">
        <v>2887</v>
      </c>
      <c r="U385" t="s">
        <v>34</v>
      </c>
      <c r="V385" t="s">
        <v>2888</v>
      </c>
      <c r="X385" t="s">
        <v>2890</v>
      </c>
      <c r="Y385" t="b">
        <f t="shared" si="5"/>
        <v>0</v>
      </c>
    </row>
    <row r="386" spans="1:25" hidden="1">
      <c r="A386" s="11" t="s">
        <v>9939</v>
      </c>
      <c r="B386" t="s">
        <v>16</v>
      </c>
      <c r="C386" s="2" t="s">
        <v>8334</v>
      </c>
      <c r="D386" t="s">
        <v>2892</v>
      </c>
      <c r="E386" t="s">
        <v>2891</v>
      </c>
      <c r="F386" s="20">
        <v>0</v>
      </c>
      <c r="G386" s="20" t="s">
        <v>9178</v>
      </c>
      <c r="H386" t="s">
        <v>2896</v>
      </c>
      <c r="K386" t="s">
        <v>925</v>
      </c>
      <c r="M386" t="str">
        <f>"00378046"</f>
        <v>00378046</v>
      </c>
      <c r="N386" s="2" t="str">
        <f>"20140401"</f>
        <v>20140401</v>
      </c>
      <c r="O386">
        <v>59</v>
      </c>
      <c r="P386">
        <v>2</v>
      </c>
      <c r="Q386">
        <v>157</v>
      </c>
      <c r="R386">
        <v>9</v>
      </c>
      <c r="S386" t="s">
        <v>2893</v>
      </c>
      <c r="T386" t="s">
        <v>2894</v>
      </c>
      <c r="U386" t="s">
        <v>675</v>
      </c>
      <c r="V386" t="s">
        <v>2895</v>
      </c>
      <c r="X386" t="s">
        <v>2897</v>
      </c>
      <c r="Y386" t="b">
        <f t="shared" ref="Y386:Y449" si="6">COUNTIF(X:X, X386)&gt;1</f>
        <v>0</v>
      </c>
    </row>
    <row r="387" spans="1:25" hidden="1">
      <c r="A387" s="11" t="s">
        <v>9939</v>
      </c>
      <c r="B387" t="s">
        <v>16</v>
      </c>
      <c r="C387" s="2" t="s">
        <v>8334</v>
      </c>
      <c r="D387" t="s">
        <v>2899</v>
      </c>
      <c r="E387" t="s">
        <v>2898</v>
      </c>
      <c r="H387" t="s">
        <v>2904</v>
      </c>
      <c r="K387" t="s">
        <v>2900</v>
      </c>
      <c r="M387" t="str">
        <f>"08933200"</f>
        <v>08933200</v>
      </c>
      <c r="N387" s="2" t="str">
        <f>"20140201"</f>
        <v>20140201</v>
      </c>
      <c r="O387">
        <v>28</v>
      </c>
      <c r="P387">
        <v>1</v>
      </c>
      <c r="Q387">
        <v>77</v>
      </c>
      <c r="R387">
        <v>11</v>
      </c>
      <c r="S387" t="s">
        <v>2901</v>
      </c>
      <c r="T387" t="s">
        <v>2902</v>
      </c>
      <c r="U387" t="s">
        <v>59</v>
      </c>
      <c r="V387" t="s">
        <v>2903</v>
      </c>
      <c r="X387" t="s">
        <v>2905</v>
      </c>
      <c r="Y387" t="b">
        <f t="shared" si="6"/>
        <v>1</v>
      </c>
    </row>
    <row r="388" spans="1:25">
      <c r="A388" s="11" t="s">
        <v>9939</v>
      </c>
      <c r="B388" t="s">
        <v>2910</v>
      </c>
      <c r="C388" s="2" t="s">
        <v>8346</v>
      </c>
      <c r="D388" t="s">
        <v>2907</v>
      </c>
      <c r="E388" t="s">
        <v>2906</v>
      </c>
      <c r="F388" s="20">
        <v>1</v>
      </c>
      <c r="H388" t="s">
        <v>2912</v>
      </c>
      <c r="I388">
        <v>1</v>
      </c>
      <c r="K388" t="s">
        <v>40</v>
      </c>
      <c r="M388" t="str">
        <f>"15571912"</f>
        <v>15571912</v>
      </c>
      <c r="N388" s="2" t="str">
        <f>"20110401"</f>
        <v>20110401</v>
      </c>
      <c r="O388">
        <v>13</v>
      </c>
      <c r="P388">
        <v>2</v>
      </c>
      <c r="Q388">
        <v>193</v>
      </c>
      <c r="R388">
        <v>1</v>
      </c>
      <c r="S388" t="s">
        <v>2908</v>
      </c>
      <c r="T388" t="s">
        <v>2909</v>
      </c>
      <c r="U388" t="s">
        <v>42</v>
      </c>
      <c r="V388" t="s">
        <v>2911</v>
      </c>
      <c r="X388" t="s">
        <v>2913</v>
      </c>
      <c r="Y388" t="b">
        <f t="shared" si="6"/>
        <v>0</v>
      </c>
    </row>
    <row r="389" spans="1:25">
      <c r="A389" s="11" t="s">
        <v>9939</v>
      </c>
      <c r="B389" t="s">
        <v>16</v>
      </c>
      <c r="C389" s="2" t="s">
        <v>8337</v>
      </c>
      <c r="D389" t="s">
        <v>2915</v>
      </c>
      <c r="E389" t="s">
        <v>2914</v>
      </c>
      <c r="F389" s="20">
        <v>1</v>
      </c>
      <c r="H389" t="s">
        <v>2919</v>
      </c>
      <c r="I389">
        <v>1</v>
      </c>
      <c r="K389" t="s">
        <v>260</v>
      </c>
      <c r="M389" t="str">
        <f>"07399332"</f>
        <v>07399332</v>
      </c>
      <c r="N389" s="2" t="str">
        <f>"20131201"</f>
        <v>20131201</v>
      </c>
      <c r="O389">
        <v>34</v>
      </c>
      <c r="P389">
        <v>12</v>
      </c>
      <c r="Q389">
        <v>1097</v>
      </c>
      <c r="R389">
        <v>19</v>
      </c>
      <c r="S389" t="s">
        <v>2916</v>
      </c>
      <c r="T389" t="s">
        <v>2917</v>
      </c>
      <c r="U389" t="s">
        <v>87</v>
      </c>
      <c r="V389" t="s">
        <v>2918</v>
      </c>
      <c r="X389" t="s">
        <v>2920</v>
      </c>
      <c r="Y389" t="b">
        <f t="shared" si="6"/>
        <v>0</v>
      </c>
    </row>
    <row r="390" spans="1:25">
      <c r="A390" s="11" t="s">
        <v>9939</v>
      </c>
      <c r="B390" t="s">
        <v>16</v>
      </c>
      <c r="C390" s="2" t="s">
        <v>8342</v>
      </c>
      <c r="D390" t="s">
        <v>2922</v>
      </c>
      <c r="E390" t="s">
        <v>2921</v>
      </c>
      <c r="F390" s="20">
        <v>1</v>
      </c>
      <c r="H390" t="s">
        <v>2927</v>
      </c>
      <c r="I390">
        <v>1</v>
      </c>
      <c r="K390" t="s">
        <v>2923</v>
      </c>
      <c r="M390" t="str">
        <f>"15276546"</f>
        <v>15276546</v>
      </c>
      <c r="N390" s="2" t="str">
        <f>"20120601"</f>
        <v>20120601</v>
      </c>
      <c r="O390">
        <v>44</v>
      </c>
      <c r="P390">
        <v>2</v>
      </c>
      <c r="Q390">
        <v>111</v>
      </c>
      <c r="R390">
        <v>9</v>
      </c>
      <c r="S390" t="s">
        <v>2924</v>
      </c>
      <c r="T390" t="s">
        <v>2925</v>
      </c>
      <c r="U390" t="s">
        <v>730</v>
      </c>
      <c r="V390" t="s">
        <v>2926</v>
      </c>
      <c r="X390" t="s">
        <v>2928</v>
      </c>
      <c r="Y390" t="b">
        <f t="shared" si="6"/>
        <v>0</v>
      </c>
    </row>
    <row r="391" spans="1:25">
      <c r="A391" s="11" t="s">
        <v>9939</v>
      </c>
      <c r="B391" t="s">
        <v>16</v>
      </c>
      <c r="C391" s="2" t="s">
        <v>8353</v>
      </c>
      <c r="D391" t="s">
        <v>2930</v>
      </c>
      <c r="E391" t="s">
        <v>2929</v>
      </c>
      <c r="F391" s="20">
        <v>1</v>
      </c>
      <c r="H391" t="s">
        <v>2936</v>
      </c>
      <c r="I391">
        <v>1</v>
      </c>
      <c r="J391" t="s">
        <v>9952</v>
      </c>
      <c r="K391" t="s">
        <v>2931</v>
      </c>
      <c r="M391" t="str">
        <f>"20008066"</f>
        <v>20008066</v>
      </c>
      <c r="N391" s="2" t="str">
        <f>"20160212"</f>
        <v>20160212</v>
      </c>
      <c r="O391">
        <v>7</v>
      </c>
      <c r="S391" t="s">
        <v>2932</v>
      </c>
      <c r="T391" t="s">
        <v>2933</v>
      </c>
      <c r="U391" t="s">
        <v>2934</v>
      </c>
      <c r="V391" t="s">
        <v>2935</v>
      </c>
      <c r="X391" t="s">
        <v>2937</v>
      </c>
      <c r="Y391" t="b">
        <f t="shared" si="6"/>
        <v>0</v>
      </c>
    </row>
    <row r="392" spans="1:25">
      <c r="A392" s="11" t="s">
        <v>9939</v>
      </c>
      <c r="B392" t="s">
        <v>69</v>
      </c>
      <c r="C392" s="2" t="s">
        <v>8348</v>
      </c>
      <c r="D392" t="s">
        <v>2939</v>
      </c>
      <c r="E392" t="s">
        <v>2938</v>
      </c>
      <c r="F392" s="20">
        <v>1</v>
      </c>
      <c r="H392" t="s">
        <v>2943</v>
      </c>
      <c r="I392">
        <v>1</v>
      </c>
      <c r="K392" t="s">
        <v>101</v>
      </c>
      <c r="M392" t="str">
        <f>"04194217"</f>
        <v>04194217</v>
      </c>
      <c r="N392" s="2" t="str">
        <f>"20050101"</f>
        <v>20050101</v>
      </c>
      <c r="O392">
        <v>66</v>
      </c>
      <c r="P392" t="s">
        <v>2940</v>
      </c>
      <c r="Q392">
        <v>1788</v>
      </c>
      <c r="R392">
        <v>1</v>
      </c>
      <c r="S392" t="s">
        <v>2941</v>
      </c>
      <c r="U392" t="s">
        <v>68</v>
      </c>
      <c r="V392" t="s">
        <v>2942</v>
      </c>
      <c r="X392" t="s">
        <v>2944</v>
      </c>
      <c r="Y392" t="b">
        <f t="shared" si="6"/>
        <v>0</v>
      </c>
    </row>
    <row r="393" spans="1:25">
      <c r="A393" s="11" t="s">
        <v>9939</v>
      </c>
      <c r="B393" t="s">
        <v>16</v>
      </c>
      <c r="C393" s="2" t="s">
        <v>8344</v>
      </c>
      <c r="D393" t="s">
        <v>2946</v>
      </c>
      <c r="E393" t="s">
        <v>2945</v>
      </c>
      <c r="F393" s="20">
        <v>1</v>
      </c>
      <c r="H393" t="s">
        <v>2950</v>
      </c>
      <c r="I393">
        <v>0</v>
      </c>
      <c r="J393" t="s">
        <v>9249</v>
      </c>
      <c r="K393" t="s">
        <v>370</v>
      </c>
      <c r="M393" t="str">
        <f>"00207594"</f>
        <v>00207594</v>
      </c>
      <c r="N393" s="2" t="str">
        <f>"20100801"</f>
        <v>20100801</v>
      </c>
      <c r="O393">
        <v>45</v>
      </c>
      <c r="P393">
        <v>4</v>
      </c>
      <c r="Q393">
        <v>311</v>
      </c>
      <c r="R393">
        <v>9</v>
      </c>
      <c r="S393" t="s">
        <v>2947</v>
      </c>
      <c r="T393" t="s">
        <v>2948</v>
      </c>
      <c r="U393" t="s">
        <v>87</v>
      </c>
      <c r="V393" t="s">
        <v>2949</v>
      </c>
      <c r="X393" t="s">
        <v>2951</v>
      </c>
      <c r="Y393" t="b">
        <f t="shared" si="6"/>
        <v>0</v>
      </c>
    </row>
    <row r="394" spans="1:25" hidden="1">
      <c r="A394" s="11" t="s">
        <v>9939</v>
      </c>
      <c r="B394" t="s">
        <v>16</v>
      </c>
      <c r="C394" s="2" t="s">
        <v>8349</v>
      </c>
      <c r="D394" t="s">
        <v>2953</v>
      </c>
      <c r="E394" t="s">
        <v>2952</v>
      </c>
      <c r="H394" t="s">
        <v>2958</v>
      </c>
      <c r="K394" t="s">
        <v>2954</v>
      </c>
      <c r="M394" t="str">
        <f>"08876177"</f>
        <v>08876177</v>
      </c>
      <c r="N394" s="2" t="str">
        <f>"20190701"</f>
        <v>20190701</v>
      </c>
      <c r="O394">
        <v>34</v>
      </c>
      <c r="P394">
        <v>5</v>
      </c>
      <c r="Q394">
        <v>713</v>
      </c>
      <c r="R394">
        <v>8</v>
      </c>
      <c r="S394" t="s">
        <v>2955</v>
      </c>
      <c r="T394" t="s">
        <v>2956</v>
      </c>
      <c r="U394" t="s">
        <v>675</v>
      </c>
      <c r="V394" t="s">
        <v>2957</v>
      </c>
      <c r="X394" t="s">
        <v>2959</v>
      </c>
      <c r="Y394" t="b">
        <f t="shared" si="6"/>
        <v>1</v>
      </c>
    </row>
    <row r="395" spans="1:25" hidden="1">
      <c r="A395" s="11" t="s">
        <v>9939</v>
      </c>
      <c r="B395" t="s">
        <v>69</v>
      </c>
      <c r="C395" s="2" t="s">
        <v>8335</v>
      </c>
      <c r="D395" t="s">
        <v>2961</v>
      </c>
      <c r="E395" t="s">
        <v>2960</v>
      </c>
      <c r="F395" s="20">
        <v>0</v>
      </c>
      <c r="G395" s="20" t="s">
        <v>9178</v>
      </c>
      <c r="H395" t="s">
        <v>2965</v>
      </c>
      <c r="K395" t="s">
        <v>101</v>
      </c>
      <c r="M395" t="str">
        <f>"04194217"</f>
        <v>04194217</v>
      </c>
      <c r="N395" s="2" t="str">
        <f>"20040101"</f>
        <v>20040101</v>
      </c>
      <c r="O395">
        <v>65</v>
      </c>
      <c r="P395" t="s">
        <v>2962</v>
      </c>
      <c r="Q395">
        <v>2689</v>
      </c>
      <c r="R395">
        <v>1</v>
      </c>
      <c r="S395" t="s">
        <v>2963</v>
      </c>
      <c r="U395" t="s">
        <v>68</v>
      </c>
      <c r="V395" t="s">
        <v>2964</v>
      </c>
      <c r="X395" t="s">
        <v>2966</v>
      </c>
      <c r="Y395" t="b">
        <f t="shared" si="6"/>
        <v>0</v>
      </c>
    </row>
    <row r="396" spans="1:25" hidden="1">
      <c r="A396" s="11" t="s">
        <v>9939</v>
      </c>
      <c r="B396" t="s">
        <v>16</v>
      </c>
      <c r="C396" s="2" t="s">
        <v>8353</v>
      </c>
      <c r="D396" t="s">
        <v>2968</v>
      </c>
      <c r="E396" t="s">
        <v>2967</v>
      </c>
      <c r="F396" s="20">
        <v>0</v>
      </c>
      <c r="G396" s="20" t="s">
        <v>9178</v>
      </c>
      <c r="H396" t="s">
        <v>2973</v>
      </c>
      <c r="K396" t="s">
        <v>2969</v>
      </c>
      <c r="M396" t="str">
        <f>"13825585"</f>
        <v>13825585</v>
      </c>
      <c r="N396" s="2" t="str">
        <f>"20160901"</f>
        <v>20160901</v>
      </c>
      <c r="O396">
        <v>23</v>
      </c>
      <c r="P396">
        <v>5</v>
      </c>
      <c r="Q396">
        <v>578</v>
      </c>
      <c r="R396">
        <v>13</v>
      </c>
      <c r="S396" t="s">
        <v>2970</v>
      </c>
      <c r="T396" t="s">
        <v>2971</v>
      </c>
      <c r="U396" t="s">
        <v>87</v>
      </c>
      <c r="V396" t="s">
        <v>2972</v>
      </c>
      <c r="X396" t="s">
        <v>2974</v>
      </c>
      <c r="Y396" t="b">
        <f t="shared" si="6"/>
        <v>0</v>
      </c>
    </row>
    <row r="397" spans="1:25" hidden="1">
      <c r="A397" s="11" t="s">
        <v>9939</v>
      </c>
      <c r="B397" t="s">
        <v>16</v>
      </c>
      <c r="C397" s="2" t="s">
        <v>8334</v>
      </c>
      <c r="D397" t="s">
        <v>2976</v>
      </c>
      <c r="E397" t="s">
        <v>2975</v>
      </c>
      <c r="H397" t="s">
        <v>2980</v>
      </c>
      <c r="K397" t="s">
        <v>48</v>
      </c>
      <c r="M397" t="str">
        <f>"07399863"</f>
        <v>07399863</v>
      </c>
      <c r="N397" s="2" t="str">
        <f>"20140501"</f>
        <v>20140501</v>
      </c>
      <c r="O397">
        <v>36</v>
      </c>
      <c r="P397">
        <v>2</v>
      </c>
      <c r="Q397">
        <v>144</v>
      </c>
      <c r="R397">
        <v>20</v>
      </c>
      <c r="S397" t="s">
        <v>2977</v>
      </c>
      <c r="T397" t="s">
        <v>2978</v>
      </c>
      <c r="U397" t="s">
        <v>15</v>
      </c>
      <c r="V397" t="s">
        <v>2979</v>
      </c>
      <c r="X397" t="s">
        <v>2981</v>
      </c>
      <c r="Y397" t="b">
        <f t="shared" si="6"/>
        <v>1</v>
      </c>
    </row>
    <row r="398" spans="1:25" hidden="1">
      <c r="A398" s="11" t="s">
        <v>9939</v>
      </c>
      <c r="B398" t="s">
        <v>16</v>
      </c>
      <c r="C398" s="2" t="s">
        <v>8345</v>
      </c>
      <c r="D398" t="s">
        <v>2983</v>
      </c>
      <c r="E398" t="s">
        <v>2982</v>
      </c>
      <c r="F398" s="20">
        <v>0</v>
      </c>
      <c r="G398" t="s">
        <v>9237</v>
      </c>
      <c r="H398" t="s">
        <v>2988</v>
      </c>
      <c r="K398" t="s">
        <v>2984</v>
      </c>
      <c r="M398" t="str">
        <f>"02614367"</f>
        <v>02614367</v>
      </c>
      <c r="N398" s="2" t="str">
        <f>"20201201"</f>
        <v>20201201</v>
      </c>
      <c r="O398">
        <v>39</v>
      </c>
      <c r="P398">
        <v>6</v>
      </c>
      <c r="Q398">
        <v>782</v>
      </c>
      <c r="R398">
        <v>15</v>
      </c>
      <c r="S398" t="s">
        <v>2985</v>
      </c>
      <c r="T398" t="s">
        <v>2986</v>
      </c>
      <c r="U398" t="s">
        <v>87</v>
      </c>
      <c r="V398" t="s">
        <v>2987</v>
      </c>
      <c r="X398" t="s">
        <v>2989</v>
      </c>
      <c r="Y398" t="b">
        <f t="shared" si="6"/>
        <v>0</v>
      </c>
    </row>
    <row r="399" spans="1:25" hidden="1">
      <c r="A399" s="11" t="s">
        <v>9939</v>
      </c>
      <c r="B399" t="s">
        <v>395</v>
      </c>
      <c r="C399" s="2" t="s">
        <v>8337</v>
      </c>
      <c r="D399" t="s">
        <v>2991</v>
      </c>
      <c r="E399" t="s">
        <v>2990</v>
      </c>
      <c r="H399" t="s">
        <v>2996</v>
      </c>
      <c r="K399" t="s">
        <v>2992</v>
      </c>
      <c r="L399" t="str">
        <f>"9781848720909; 9781848721364; 9780203075630"</f>
        <v>9781848720909; 9781848721364; 9780203075630</v>
      </c>
      <c r="N399" s="2" t="str">
        <f>"20130101"</f>
        <v>20130101</v>
      </c>
      <c r="Q399">
        <v>127</v>
      </c>
      <c r="R399">
        <v>7</v>
      </c>
      <c r="S399" t="s">
        <v>2993</v>
      </c>
      <c r="U399" t="s">
        <v>2994</v>
      </c>
      <c r="V399" t="s">
        <v>2995</v>
      </c>
      <c r="X399" t="s">
        <v>2997</v>
      </c>
      <c r="Y399" t="b">
        <f t="shared" si="6"/>
        <v>1</v>
      </c>
    </row>
    <row r="400" spans="1:25" hidden="1">
      <c r="A400" s="11" t="s">
        <v>9939</v>
      </c>
      <c r="B400" t="s">
        <v>16</v>
      </c>
      <c r="C400" s="2" t="s">
        <v>8342</v>
      </c>
      <c r="D400" t="s">
        <v>2999</v>
      </c>
      <c r="E400" t="s">
        <v>2998</v>
      </c>
      <c r="H400" t="s">
        <v>3004</v>
      </c>
      <c r="K400" t="s">
        <v>3000</v>
      </c>
      <c r="M400" t="str">
        <f>"11329483"</f>
        <v>11329483</v>
      </c>
      <c r="N400" s="2" t="str">
        <f>"20120101"</f>
        <v>20120101</v>
      </c>
      <c r="O400">
        <v>20</v>
      </c>
      <c r="P400">
        <v>1</v>
      </c>
      <c r="Q400">
        <v>15</v>
      </c>
      <c r="R400">
        <v>27</v>
      </c>
      <c r="S400" t="s">
        <v>3001</v>
      </c>
      <c r="U400" t="s">
        <v>3002</v>
      </c>
      <c r="V400" t="s">
        <v>3003</v>
      </c>
      <c r="X400" t="s">
        <v>3005</v>
      </c>
      <c r="Y400" t="b">
        <f t="shared" si="6"/>
        <v>1</v>
      </c>
    </row>
    <row r="401" spans="1:25" hidden="1">
      <c r="A401" s="11" t="s">
        <v>9939</v>
      </c>
      <c r="B401" t="s">
        <v>16</v>
      </c>
      <c r="C401" s="2" t="s">
        <v>8341</v>
      </c>
      <c r="D401" t="s">
        <v>3007</v>
      </c>
      <c r="E401" t="s">
        <v>3006</v>
      </c>
      <c r="H401" t="s">
        <v>3011</v>
      </c>
      <c r="K401" t="s">
        <v>2292</v>
      </c>
      <c r="M401" t="str">
        <f>"00147370"</f>
        <v>00147370</v>
      </c>
      <c r="N401" s="2" t="str">
        <f>"20090301"</f>
        <v>20090301</v>
      </c>
      <c r="O401">
        <v>48</v>
      </c>
      <c r="P401">
        <v>1</v>
      </c>
      <c r="Q401">
        <v>135</v>
      </c>
      <c r="R401">
        <v>16</v>
      </c>
      <c r="S401" t="s">
        <v>3008</v>
      </c>
      <c r="T401" t="s">
        <v>3009</v>
      </c>
      <c r="U401" t="s">
        <v>730</v>
      </c>
      <c r="V401" t="s">
        <v>3010</v>
      </c>
      <c r="X401" t="s">
        <v>3012</v>
      </c>
      <c r="Y401" t="b">
        <f t="shared" si="6"/>
        <v>1</v>
      </c>
    </row>
    <row r="402" spans="1:25" hidden="1">
      <c r="A402" s="11" t="s">
        <v>9939</v>
      </c>
      <c r="B402" t="s">
        <v>16</v>
      </c>
      <c r="C402" s="2" t="s">
        <v>8343</v>
      </c>
      <c r="D402" t="s">
        <v>3014</v>
      </c>
      <c r="E402" t="s">
        <v>3013</v>
      </c>
      <c r="F402" s="20">
        <v>0</v>
      </c>
      <c r="G402" t="s">
        <v>9249</v>
      </c>
      <c r="H402" t="s">
        <v>3019</v>
      </c>
      <c r="K402" t="s">
        <v>3015</v>
      </c>
      <c r="M402" t="str">
        <f>"14690292"</f>
        <v>14690292</v>
      </c>
      <c r="N402" s="2" t="str">
        <f>"20170501"</f>
        <v>20170501</v>
      </c>
      <c r="O402">
        <v>30</v>
      </c>
      <c r="Q402">
        <v>226</v>
      </c>
      <c r="R402">
        <v>10</v>
      </c>
      <c r="S402" t="s">
        <v>3016</v>
      </c>
      <c r="T402" t="s">
        <v>3017</v>
      </c>
      <c r="U402" t="s">
        <v>34</v>
      </c>
      <c r="V402" t="s">
        <v>3018</v>
      </c>
      <c r="X402" t="s">
        <v>3020</v>
      </c>
      <c r="Y402" t="b">
        <f t="shared" si="6"/>
        <v>0</v>
      </c>
    </row>
    <row r="403" spans="1:25">
      <c r="A403" s="11" t="s">
        <v>9939</v>
      </c>
      <c r="B403" t="s">
        <v>16</v>
      </c>
      <c r="C403" s="2" t="s">
        <v>8349</v>
      </c>
      <c r="D403" t="s">
        <v>3022</v>
      </c>
      <c r="E403" t="s">
        <v>3021</v>
      </c>
      <c r="F403" s="20">
        <v>1</v>
      </c>
      <c r="H403" t="s">
        <v>3028</v>
      </c>
      <c r="I403">
        <v>0</v>
      </c>
      <c r="J403" t="s">
        <v>9237</v>
      </c>
      <c r="K403" t="s">
        <v>3023</v>
      </c>
      <c r="M403" t="str">
        <f>"00029602"</f>
        <v>00029602</v>
      </c>
      <c r="N403" s="2" t="str">
        <f>"20191101"</f>
        <v>20191101</v>
      </c>
      <c r="O403">
        <v>125</v>
      </c>
      <c r="P403">
        <v>3</v>
      </c>
      <c r="Q403">
        <v>683</v>
      </c>
      <c r="R403">
        <v>47</v>
      </c>
      <c r="S403" t="s">
        <v>3024</v>
      </c>
      <c r="T403" t="s">
        <v>3025</v>
      </c>
      <c r="U403" t="s">
        <v>3026</v>
      </c>
      <c r="V403" t="s">
        <v>3027</v>
      </c>
      <c r="X403" t="s">
        <v>3029</v>
      </c>
      <c r="Y403" t="b">
        <f t="shared" si="6"/>
        <v>0</v>
      </c>
    </row>
    <row r="404" spans="1:25" hidden="1">
      <c r="A404" s="11" t="s">
        <v>9939</v>
      </c>
      <c r="B404" t="s">
        <v>16</v>
      </c>
      <c r="C404" s="2" t="s">
        <v>8334</v>
      </c>
      <c r="D404" t="s">
        <v>3031</v>
      </c>
      <c r="E404" t="s">
        <v>3030</v>
      </c>
      <c r="F404" s="20">
        <v>0</v>
      </c>
      <c r="G404" s="20" t="s">
        <v>9178</v>
      </c>
      <c r="H404" t="s">
        <v>3035</v>
      </c>
      <c r="K404" t="s">
        <v>155</v>
      </c>
      <c r="M404" t="str">
        <f>"00910562"</f>
        <v>00910562</v>
      </c>
      <c r="N404" s="2" t="str">
        <f>"20140601"</f>
        <v>20140601</v>
      </c>
      <c r="O404">
        <v>53</v>
      </c>
      <c r="P404" s="1">
        <v>44289</v>
      </c>
      <c r="Q404" s="1">
        <v>249</v>
      </c>
      <c r="R404">
        <v>12</v>
      </c>
      <c r="S404" t="s">
        <v>3032</v>
      </c>
      <c r="T404" t="s">
        <v>3033</v>
      </c>
      <c r="U404" t="s">
        <v>42</v>
      </c>
      <c r="V404" t="s">
        <v>3034</v>
      </c>
      <c r="X404" t="s">
        <v>3036</v>
      </c>
      <c r="Y404" t="b">
        <f t="shared" si="6"/>
        <v>0</v>
      </c>
    </row>
    <row r="405" spans="1:25">
      <c r="A405" s="11" t="s">
        <v>9939</v>
      </c>
      <c r="B405" t="s">
        <v>16</v>
      </c>
      <c r="C405" s="2" t="s">
        <v>8337</v>
      </c>
      <c r="D405" t="s">
        <v>3038</v>
      </c>
      <c r="E405" t="s">
        <v>3037</v>
      </c>
      <c r="F405" s="20">
        <v>1</v>
      </c>
      <c r="H405" t="s">
        <v>3042</v>
      </c>
      <c r="I405">
        <v>1</v>
      </c>
      <c r="K405" t="s">
        <v>1774</v>
      </c>
      <c r="M405" t="str">
        <f>"0049089X"</f>
        <v>0049089X</v>
      </c>
      <c r="N405" s="2" t="str">
        <f>"20130701"</f>
        <v>20130701</v>
      </c>
      <c r="O405">
        <v>42</v>
      </c>
      <c r="P405">
        <v>4</v>
      </c>
      <c r="Q405">
        <v>1109</v>
      </c>
      <c r="R405">
        <v>13</v>
      </c>
      <c r="S405" t="s">
        <v>3039</v>
      </c>
      <c r="T405" t="s">
        <v>3040</v>
      </c>
      <c r="U405" t="s">
        <v>34</v>
      </c>
      <c r="V405" t="s">
        <v>3041</v>
      </c>
      <c r="X405" t="s">
        <v>3043</v>
      </c>
      <c r="Y405" t="b">
        <f t="shared" si="6"/>
        <v>0</v>
      </c>
    </row>
    <row r="406" spans="1:25" hidden="1">
      <c r="A406" s="11" t="s">
        <v>9939</v>
      </c>
      <c r="B406" t="s">
        <v>16</v>
      </c>
      <c r="C406" s="2" t="s">
        <v>8344</v>
      </c>
      <c r="D406" t="s">
        <v>3045</v>
      </c>
      <c r="E406" t="s">
        <v>3044</v>
      </c>
      <c r="H406" t="s">
        <v>3049</v>
      </c>
      <c r="K406" t="s">
        <v>347</v>
      </c>
      <c r="M406" t="str">
        <f>"00900036"</f>
        <v>00900036</v>
      </c>
      <c r="N406" s="2" t="str">
        <f>"20100301"</f>
        <v>20100301</v>
      </c>
      <c r="O406">
        <v>100</v>
      </c>
      <c r="P406">
        <v>3</v>
      </c>
      <c r="Q406">
        <v>563</v>
      </c>
      <c r="R406">
        <v>7</v>
      </c>
      <c r="S406" t="s">
        <v>3046</v>
      </c>
      <c r="T406" t="s">
        <v>3047</v>
      </c>
      <c r="U406" t="s">
        <v>350</v>
      </c>
      <c r="V406" t="s">
        <v>3048</v>
      </c>
      <c r="X406" t="s">
        <v>3050</v>
      </c>
      <c r="Y406" t="b">
        <f t="shared" si="6"/>
        <v>1</v>
      </c>
    </row>
    <row r="407" spans="1:25" hidden="1">
      <c r="A407" s="11" t="s">
        <v>9939</v>
      </c>
      <c r="B407" t="s">
        <v>16</v>
      </c>
      <c r="C407" s="2" t="s">
        <v>8342</v>
      </c>
      <c r="D407" t="s">
        <v>3052</v>
      </c>
      <c r="E407" t="s">
        <v>3051</v>
      </c>
      <c r="F407" s="20">
        <v>0</v>
      </c>
      <c r="G407" s="20" t="s">
        <v>9178</v>
      </c>
      <c r="H407" t="s">
        <v>3057</v>
      </c>
      <c r="K407" t="s">
        <v>3053</v>
      </c>
      <c r="M407" t="str">
        <f>"00220167"</f>
        <v>00220167</v>
      </c>
      <c r="N407" s="2" t="str">
        <f>"20120701"</f>
        <v>20120701</v>
      </c>
      <c r="O407">
        <v>59</v>
      </c>
      <c r="P407">
        <v>3</v>
      </c>
      <c r="Q407">
        <v>486</v>
      </c>
      <c r="R407">
        <v>8</v>
      </c>
      <c r="S407" t="s">
        <v>3054</v>
      </c>
      <c r="T407" t="s">
        <v>3055</v>
      </c>
      <c r="U407" t="s">
        <v>59</v>
      </c>
      <c r="V407" t="s">
        <v>3056</v>
      </c>
      <c r="X407" t="s">
        <v>3058</v>
      </c>
      <c r="Y407" t="b">
        <f t="shared" si="6"/>
        <v>0</v>
      </c>
    </row>
    <row r="408" spans="1:25">
      <c r="A408" s="11" t="s">
        <v>9939</v>
      </c>
      <c r="B408" t="s">
        <v>16</v>
      </c>
      <c r="C408" s="2" t="s">
        <v>8340</v>
      </c>
      <c r="D408" t="s">
        <v>3060</v>
      </c>
      <c r="E408" t="s">
        <v>3059</v>
      </c>
      <c r="F408" s="20">
        <v>1</v>
      </c>
      <c r="H408" t="s">
        <v>3065</v>
      </c>
      <c r="I408">
        <v>1</v>
      </c>
      <c r="K408" t="s">
        <v>3061</v>
      </c>
      <c r="M408" t="str">
        <f>"15579883"</f>
        <v>15579883</v>
      </c>
      <c r="N408" s="2" t="str">
        <f>"20180901"</f>
        <v>20180901</v>
      </c>
      <c r="O408">
        <v>12</v>
      </c>
      <c r="P408">
        <v>5</v>
      </c>
      <c r="Q408">
        <v>1517</v>
      </c>
      <c r="R408">
        <v>13</v>
      </c>
      <c r="S408" t="s">
        <v>3062</v>
      </c>
      <c r="T408" t="s">
        <v>3063</v>
      </c>
      <c r="U408" t="s">
        <v>15</v>
      </c>
      <c r="V408" t="s">
        <v>3064</v>
      </c>
      <c r="X408" t="s">
        <v>3066</v>
      </c>
      <c r="Y408" t="b">
        <f t="shared" si="6"/>
        <v>0</v>
      </c>
    </row>
    <row r="409" spans="1:25" hidden="1">
      <c r="A409" s="11" t="s">
        <v>9939</v>
      </c>
      <c r="B409" t="s">
        <v>16</v>
      </c>
      <c r="C409" s="2" t="s">
        <v>8341</v>
      </c>
      <c r="D409" t="s">
        <v>3068</v>
      </c>
      <c r="E409" t="s">
        <v>3067</v>
      </c>
      <c r="F409" s="20">
        <v>0</v>
      </c>
      <c r="G409" s="20" t="s">
        <v>9178</v>
      </c>
      <c r="H409" t="s">
        <v>3072</v>
      </c>
      <c r="K409" t="s">
        <v>172</v>
      </c>
      <c r="M409" t="str">
        <f>"01634372"</f>
        <v>01634372</v>
      </c>
      <c r="N409" s="2" t="str">
        <f>"20090701"</f>
        <v>20090701</v>
      </c>
      <c r="O409">
        <v>52</v>
      </c>
      <c r="P409">
        <v>5</v>
      </c>
      <c r="Q409">
        <v>489</v>
      </c>
      <c r="R409">
        <v>14</v>
      </c>
      <c r="S409" t="s">
        <v>3069</v>
      </c>
      <c r="T409" t="s">
        <v>3070</v>
      </c>
      <c r="U409" t="s">
        <v>87</v>
      </c>
      <c r="V409" t="s">
        <v>3071</v>
      </c>
      <c r="X409" t="s">
        <v>3073</v>
      </c>
      <c r="Y409" t="b">
        <f t="shared" si="6"/>
        <v>0</v>
      </c>
    </row>
    <row r="410" spans="1:25" hidden="1">
      <c r="A410" s="11" t="s">
        <v>9939</v>
      </c>
      <c r="B410" t="s">
        <v>16</v>
      </c>
      <c r="C410" s="2" t="s">
        <v>8342</v>
      </c>
      <c r="D410" t="s">
        <v>3075</v>
      </c>
      <c r="E410" t="s">
        <v>3074</v>
      </c>
      <c r="H410" t="s">
        <v>3079</v>
      </c>
      <c r="K410" t="s">
        <v>970</v>
      </c>
      <c r="M410" t="str">
        <f>"10999809"</f>
        <v>10999809</v>
      </c>
      <c r="N410" s="2" t="str">
        <f>"20121001"</f>
        <v>20121001</v>
      </c>
      <c r="O410">
        <v>18</v>
      </c>
      <c r="P410">
        <v>4</v>
      </c>
      <c r="Q410">
        <v>404</v>
      </c>
      <c r="R410">
        <v>12</v>
      </c>
      <c r="S410" t="s">
        <v>3076</v>
      </c>
      <c r="T410" t="s">
        <v>3077</v>
      </c>
      <c r="U410" t="s">
        <v>183</v>
      </c>
      <c r="V410" t="s">
        <v>3078</v>
      </c>
      <c r="X410" t="s">
        <v>3080</v>
      </c>
      <c r="Y410" t="b">
        <f t="shared" si="6"/>
        <v>1</v>
      </c>
    </row>
    <row r="411" spans="1:25" hidden="1">
      <c r="A411" s="11" t="s">
        <v>9939</v>
      </c>
      <c r="B411" t="s">
        <v>16</v>
      </c>
      <c r="C411" s="2" t="s">
        <v>8349</v>
      </c>
      <c r="D411" t="s">
        <v>3082</v>
      </c>
      <c r="E411" t="s">
        <v>3081</v>
      </c>
      <c r="H411" t="s">
        <v>3087</v>
      </c>
      <c r="K411" t="s">
        <v>3083</v>
      </c>
      <c r="M411" t="str">
        <f>"21604096"</f>
        <v>21604096</v>
      </c>
      <c r="N411" s="2" t="str">
        <f>"20190901"</f>
        <v>20190901</v>
      </c>
      <c r="O411">
        <v>8</v>
      </c>
      <c r="P411">
        <v>3</v>
      </c>
      <c r="Q411">
        <v>121</v>
      </c>
      <c r="R411">
        <v>16</v>
      </c>
      <c r="S411" t="s">
        <v>3084</v>
      </c>
      <c r="T411" t="s">
        <v>3085</v>
      </c>
      <c r="U411" t="s">
        <v>183</v>
      </c>
      <c r="V411" t="s">
        <v>3086</v>
      </c>
      <c r="X411" t="s">
        <v>3088</v>
      </c>
      <c r="Y411" t="b">
        <f t="shared" si="6"/>
        <v>1</v>
      </c>
    </row>
    <row r="412" spans="1:25">
      <c r="A412" s="11" t="s">
        <v>9939</v>
      </c>
      <c r="B412" t="s">
        <v>16</v>
      </c>
      <c r="C412" s="2" t="s">
        <v>8348</v>
      </c>
      <c r="D412" t="s">
        <v>3090</v>
      </c>
      <c r="E412" t="s">
        <v>3089</v>
      </c>
      <c r="F412" s="20">
        <v>1</v>
      </c>
      <c r="H412" t="s">
        <v>3094</v>
      </c>
      <c r="I412">
        <v>1</v>
      </c>
      <c r="K412" t="s">
        <v>252</v>
      </c>
      <c r="M412" t="str">
        <f>"00220221"</f>
        <v>00220221</v>
      </c>
      <c r="N412" s="2" t="str">
        <f>"20050901"</f>
        <v>20050901</v>
      </c>
      <c r="O412">
        <v>36</v>
      </c>
      <c r="P412">
        <v>5</v>
      </c>
      <c r="Q412">
        <v>557</v>
      </c>
      <c r="R412">
        <v>16</v>
      </c>
      <c r="S412" t="s">
        <v>3091</v>
      </c>
      <c r="T412" t="s">
        <v>3092</v>
      </c>
      <c r="U412" t="s">
        <v>15</v>
      </c>
      <c r="V412" t="s">
        <v>3093</v>
      </c>
      <c r="X412" t="s">
        <v>3095</v>
      </c>
      <c r="Y412" t="b">
        <f t="shared" si="6"/>
        <v>0</v>
      </c>
    </row>
    <row r="413" spans="1:25">
      <c r="A413" s="11" t="s">
        <v>9939</v>
      </c>
      <c r="B413" t="s">
        <v>69</v>
      </c>
      <c r="C413" s="2" t="s">
        <v>8350</v>
      </c>
      <c r="D413" t="s">
        <v>3097</v>
      </c>
      <c r="E413" t="s">
        <v>3096</v>
      </c>
      <c r="F413" s="20">
        <v>1</v>
      </c>
      <c r="H413" t="s">
        <v>3100</v>
      </c>
      <c r="I413">
        <v>1</v>
      </c>
      <c r="K413" t="s">
        <v>65</v>
      </c>
      <c r="L413" t="str">
        <f>"9798672186788"</f>
        <v>9798672186788</v>
      </c>
      <c r="M413" t="str">
        <f>"04194209"</f>
        <v>04194209</v>
      </c>
      <c r="N413" s="2" t="str">
        <f>"20210101"</f>
        <v>20210101</v>
      </c>
      <c r="O413">
        <v>82</v>
      </c>
      <c r="P413" t="s">
        <v>1110</v>
      </c>
      <c r="S413" t="s">
        <v>3098</v>
      </c>
      <c r="U413" t="s">
        <v>68</v>
      </c>
      <c r="V413" t="s">
        <v>3099</v>
      </c>
      <c r="X413" t="s">
        <v>3101</v>
      </c>
      <c r="Y413" t="b">
        <f t="shared" si="6"/>
        <v>0</v>
      </c>
    </row>
    <row r="414" spans="1:25">
      <c r="A414" s="11" t="s">
        <v>9939</v>
      </c>
      <c r="B414" t="s">
        <v>16</v>
      </c>
      <c r="C414" s="2" t="s">
        <v>8337</v>
      </c>
      <c r="D414" t="s">
        <v>3103</v>
      </c>
      <c r="E414" t="s">
        <v>3102</v>
      </c>
      <c r="F414" s="20">
        <v>1</v>
      </c>
      <c r="H414" t="s">
        <v>3108</v>
      </c>
      <c r="I414">
        <v>1</v>
      </c>
      <c r="K414" t="s">
        <v>3104</v>
      </c>
      <c r="M414" t="str">
        <f>"15205436"</f>
        <v>15205436</v>
      </c>
      <c r="N414" s="2" t="str">
        <f>"20130301"</f>
        <v>20130301</v>
      </c>
      <c r="O414">
        <v>16</v>
      </c>
      <c r="P414">
        <v>2</v>
      </c>
      <c r="Q414">
        <v>245</v>
      </c>
      <c r="R414">
        <v>23</v>
      </c>
      <c r="S414" t="s">
        <v>3105</v>
      </c>
      <c r="T414" t="s">
        <v>3106</v>
      </c>
      <c r="U414" t="s">
        <v>87</v>
      </c>
      <c r="V414" t="s">
        <v>3107</v>
      </c>
      <c r="X414" t="s">
        <v>3109</v>
      </c>
      <c r="Y414" t="b">
        <f t="shared" si="6"/>
        <v>0</v>
      </c>
    </row>
    <row r="415" spans="1:25" hidden="1">
      <c r="A415" s="11" t="s">
        <v>9939</v>
      </c>
      <c r="B415" t="s">
        <v>16</v>
      </c>
      <c r="C415" s="2" t="s">
        <v>8338</v>
      </c>
      <c r="D415" t="s">
        <v>3111</v>
      </c>
      <c r="E415" t="s">
        <v>3110</v>
      </c>
      <c r="H415" t="s">
        <v>3115</v>
      </c>
      <c r="K415" t="s">
        <v>140</v>
      </c>
      <c r="M415" t="str">
        <f>"02779536"</f>
        <v>02779536</v>
      </c>
      <c r="N415" s="2" t="str">
        <f>"20060701"</f>
        <v>20060701</v>
      </c>
      <c r="O415">
        <v>63</v>
      </c>
      <c r="P415">
        <v>1</v>
      </c>
      <c r="Q415">
        <v>137</v>
      </c>
      <c r="R415">
        <v>14</v>
      </c>
      <c r="S415" t="s">
        <v>3112</v>
      </c>
      <c r="T415" t="s">
        <v>3113</v>
      </c>
      <c r="U415" t="s">
        <v>34</v>
      </c>
      <c r="V415" t="s">
        <v>3114</v>
      </c>
      <c r="X415" t="s">
        <v>3116</v>
      </c>
      <c r="Y415" t="b">
        <f t="shared" si="6"/>
        <v>1</v>
      </c>
    </row>
    <row r="416" spans="1:25">
      <c r="A416" s="11" t="s">
        <v>9939</v>
      </c>
      <c r="B416" t="s">
        <v>16</v>
      </c>
      <c r="C416" s="2" t="s">
        <v>8339</v>
      </c>
      <c r="D416" t="s">
        <v>3118</v>
      </c>
      <c r="E416" t="s">
        <v>3117</v>
      </c>
      <c r="F416" s="20">
        <v>1</v>
      </c>
      <c r="H416" t="s">
        <v>3122</v>
      </c>
      <c r="I416">
        <v>1</v>
      </c>
      <c r="K416" t="s">
        <v>132</v>
      </c>
      <c r="M416" t="str">
        <f>"01471767"</f>
        <v>01471767</v>
      </c>
      <c r="N416" s="2" t="str">
        <f>"20150301"</f>
        <v>20150301</v>
      </c>
      <c r="O416">
        <v>45</v>
      </c>
      <c r="Q416">
        <v>47</v>
      </c>
      <c r="R416">
        <v>9</v>
      </c>
      <c r="S416" t="s">
        <v>3119</v>
      </c>
      <c r="T416" t="s">
        <v>3120</v>
      </c>
      <c r="U416" t="s">
        <v>34</v>
      </c>
      <c r="V416" t="s">
        <v>3121</v>
      </c>
      <c r="X416" t="s">
        <v>3123</v>
      </c>
      <c r="Y416" t="b">
        <f t="shared" si="6"/>
        <v>0</v>
      </c>
    </row>
    <row r="417" spans="1:25" hidden="1">
      <c r="A417" s="11" t="s">
        <v>9939</v>
      </c>
      <c r="B417" t="s">
        <v>16</v>
      </c>
      <c r="C417" s="2" t="s">
        <v>8340</v>
      </c>
      <c r="D417" t="s">
        <v>3125</v>
      </c>
      <c r="E417" t="s">
        <v>3124</v>
      </c>
      <c r="H417" t="s">
        <v>3129</v>
      </c>
      <c r="K417" t="s">
        <v>1414</v>
      </c>
      <c r="M417" t="str">
        <f>"13557858"</f>
        <v>13557858</v>
      </c>
      <c r="N417" s="2" t="str">
        <f>"20180201"</f>
        <v>20180201</v>
      </c>
      <c r="O417">
        <v>23</v>
      </c>
      <c r="P417">
        <v>2</v>
      </c>
      <c r="Q417">
        <v>174</v>
      </c>
      <c r="R417">
        <v>20</v>
      </c>
      <c r="S417" t="s">
        <v>3126</v>
      </c>
      <c r="T417" t="s">
        <v>3127</v>
      </c>
      <c r="U417" t="s">
        <v>87</v>
      </c>
      <c r="V417" t="s">
        <v>3128</v>
      </c>
      <c r="X417" t="s">
        <v>3130</v>
      </c>
      <c r="Y417" t="b">
        <f t="shared" si="6"/>
        <v>1</v>
      </c>
    </row>
    <row r="418" spans="1:25" hidden="1">
      <c r="A418" s="11" t="s">
        <v>9939</v>
      </c>
      <c r="B418" t="s">
        <v>69</v>
      </c>
      <c r="C418" s="2" t="s">
        <v>8341</v>
      </c>
      <c r="D418" t="s">
        <v>3132</v>
      </c>
      <c r="E418" t="s">
        <v>3131</v>
      </c>
      <c r="F418" s="20">
        <v>0</v>
      </c>
      <c r="G418" s="20" t="s">
        <v>9178</v>
      </c>
      <c r="H418" t="s">
        <v>3135</v>
      </c>
      <c r="K418" t="s">
        <v>65</v>
      </c>
      <c r="L418" t="str">
        <f>"9780549797180"</f>
        <v>9780549797180</v>
      </c>
      <c r="M418" t="str">
        <f>"04194209"</f>
        <v>04194209</v>
      </c>
      <c r="N418" s="2" t="str">
        <f>"20090101"</f>
        <v>20090101</v>
      </c>
      <c r="O418">
        <v>69</v>
      </c>
      <c r="P418" t="s">
        <v>1096</v>
      </c>
      <c r="Q418">
        <v>2998</v>
      </c>
      <c r="R418">
        <v>1</v>
      </c>
      <c r="S418" t="s">
        <v>3133</v>
      </c>
      <c r="U418" t="s">
        <v>68</v>
      </c>
      <c r="V418" t="s">
        <v>3134</v>
      </c>
      <c r="X418" t="s">
        <v>3136</v>
      </c>
      <c r="Y418" t="b">
        <f t="shared" si="6"/>
        <v>0</v>
      </c>
    </row>
    <row r="419" spans="1:25" hidden="1">
      <c r="A419" s="11" t="s">
        <v>9939</v>
      </c>
      <c r="B419" t="s">
        <v>16</v>
      </c>
      <c r="C419" s="2" t="s">
        <v>8343</v>
      </c>
      <c r="D419" t="s">
        <v>3138</v>
      </c>
      <c r="E419" t="s">
        <v>3137</v>
      </c>
      <c r="H419" t="s">
        <v>3143</v>
      </c>
      <c r="K419" t="s">
        <v>3139</v>
      </c>
      <c r="M419" t="str">
        <f>"0162895X"</f>
        <v>0162895X</v>
      </c>
      <c r="N419" s="2" t="str">
        <f>"20171001"</f>
        <v>20171001</v>
      </c>
      <c r="O419">
        <v>38</v>
      </c>
      <c r="P419">
        <v>5</v>
      </c>
      <c r="Q419">
        <v>741</v>
      </c>
      <c r="R419">
        <v>16</v>
      </c>
      <c r="S419" t="s">
        <v>3140</v>
      </c>
      <c r="T419" t="s">
        <v>3141</v>
      </c>
      <c r="U419" t="s">
        <v>730</v>
      </c>
      <c r="V419" t="s">
        <v>3142</v>
      </c>
      <c r="X419" t="s">
        <v>3144</v>
      </c>
      <c r="Y419" t="b">
        <f t="shared" si="6"/>
        <v>1</v>
      </c>
    </row>
    <row r="420" spans="1:25">
      <c r="A420" s="11" t="s">
        <v>9939</v>
      </c>
      <c r="B420" t="s">
        <v>16</v>
      </c>
      <c r="C420" s="2" t="s">
        <v>8340</v>
      </c>
      <c r="D420" t="s">
        <v>3146</v>
      </c>
      <c r="E420" t="s">
        <v>3145</v>
      </c>
      <c r="F420" s="20">
        <v>1</v>
      </c>
      <c r="H420" t="s">
        <v>3150</v>
      </c>
      <c r="I420">
        <v>0</v>
      </c>
      <c r="J420" t="s">
        <v>9249</v>
      </c>
      <c r="K420" t="s">
        <v>3139</v>
      </c>
      <c r="M420" t="str">
        <f>"0162895X"</f>
        <v>0162895X</v>
      </c>
      <c r="N420" s="2" t="str">
        <f>"20180401"</f>
        <v>20180401</v>
      </c>
      <c r="O420">
        <v>39</v>
      </c>
      <c r="P420">
        <v>2</v>
      </c>
      <c r="Q420">
        <v>325</v>
      </c>
      <c r="R420">
        <v>19</v>
      </c>
      <c r="S420" t="s">
        <v>3147</v>
      </c>
      <c r="T420" t="s">
        <v>3148</v>
      </c>
      <c r="U420" t="s">
        <v>730</v>
      </c>
      <c r="V420" t="s">
        <v>3149</v>
      </c>
      <c r="X420" t="s">
        <v>3151</v>
      </c>
      <c r="Y420" t="b">
        <f t="shared" si="6"/>
        <v>0</v>
      </c>
    </row>
    <row r="421" spans="1:25" hidden="1">
      <c r="A421" s="11" t="s">
        <v>9939</v>
      </c>
      <c r="B421" t="s">
        <v>16</v>
      </c>
      <c r="C421" s="2" t="s">
        <v>8337</v>
      </c>
      <c r="D421" t="s">
        <v>3153</v>
      </c>
      <c r="E421" t="s">
        <v>3152</v>
      </c>
      <c r="F421" s="20">
        <v>0</v>
      </c>
      <c r="G421" t="s">
        <v>9237</v>
      </c>
      <c r="H421" t="s">
        <v>3157</v>
      </c>
      <c r="K421" t="s">
        <v>417</v>
      </c>
      <c r="M421" t="str">
        <f>"03630242"</f>
        <v>03630242</v>
      </c>
      <c r="N421" s="2" t="str">
        <f>"20130201"</f>
        <v>20130201</v>
      </c>
      <c r="O421">
        <v>53</v>
      </c>
      <c r="P421">
        <v>2</v>
      </c>
      <c r="Q421">
        <v>135</v>
      </c>
      <c r="R421">
        <v>19</v>
      </c>
      <c r="S421" t="s">
        <v>3154</v>
      </c>
      <c r="T421" t="s">
        <v>3155</v>
      </c>
      <c r="U421" t="s">
        <v>87</v>
      </c>
      <c r="V421" t="s">
        <v>3156</v>
      </c>
      <c r="X421" t="s">
        <v>3158</v>
      </c>
      <c r="Y421" t="b">
        <f t="shared" si="6"/>
        <v>0</v>
      </c>
    </row>
    <row r="422" spans="1:25" hidden="1">
      <c r="A422" s="11" t="s">
        <v>9939</v>
      </c>
      <c r="B422" t="s">
        <v>16</v>
      </c>
      <c r="C422" s="2" t="s">
        <v>8336</v>
      </c>
      <c r="D422" t="s">
        <v>3160</v>
      </c>
      <c r="E422" t="s">
        <v>3159</v>
      </c>
      <c r="F422" s="20">
        <v>0</v>
      </c>
      <c r="G422" s="20" t="s">
        <v>9178</v>
      </c>
      <c r="H422" t="s">
        <v>3165</v>
      </c>
      <c r="K422" t="s">
        <v>3161</v>
      </c>
      <c r="M422" t="str">
        <f>"10914269"</f>
        <v>10914269</v>
      </c>
      <c r="N422" s="2" t="str">
        <f>"20070101"</f>
        <v>20070101</v>
      </c>
      <c r="O422">
        <v>24</v>
      </c>
      <c r="P422">
        <v>2</v>
      </c>
      <c r="Q422">
        <v>112</v>
      </c>
      <c r="R422">
        <v>12</v>
      </c>
      <c r="S422" t="s">
        <v>3162</v>
      </c>
      <c r="T422" t="s">
        <v>3163</v>
      </c>
      <c r="U422" t="s">
        <v>224</v>
      </c>
      <c r="V422" t="s">
        <v>3164</v>
      </c>
      <c r="X422" t="s">
        <v>3166</v>
      </c>
      <c r="Y422" t="b">
        <f t="shared" si="6"/>
        <v>0</v>
      </c>
    </row>
    <row r="423" spans="1:25" hidden="1">
      <c r="A423" s="11" t="s">
        <v>9939</v>
      </c>
      <c r="B423" t="s">
        <v>16</v>
      </c>
      <c r="C423" s="2" t="s">
        <v>8344</v>
      </c>
      <c r="D423" t="s">
        <v>3168</v>
      </c>
      <c r="E423" t="s">
        <v>3167</v>
      </c>
      <c r="F423" s="20">
        <v>0</v>
      </c>
      <c r="G423" s="20" t="s">
        <v>9178</v>
      </c>
      <c r="H423" t="s">
        <v>3171</v>
      </c>
      <c r="K423" t="s">
        <v>2592</v>
      </c>
      <c r="M423" t="str">
        <f>"01606891"</f>
        <v>01606891</v>
      </c>
      <c r="N423" s="2" t="str">
        <f>"20100401"</f>
        <v>20100401</v>
      </c>
      <c r="O423">
        <v>33</v>
      </c>
      <c r="P423">
        <v>2</v>
      </c>
      <c r="Q423">
        <v>156</v>
      </c>
      <c r="R423">
        <v>8</v>
      </c>
      <c r="S423" t="s">
        <v>3169</v>
      </c>
      <c r="U423" t="s">
        <v>224</v>
      </c>
      <c r="V423" t="s">
        <v>3170</v>
      </c>
      <c r="X423" t="s">
        <v>3172</v>
      </c>
      <c r="Y423" t="b">
        <f t="shared" si="6"/>
        <v>0</v>
      </c>
    </row>
    <row r="424" spans="1:25" hidden="1">
      <c r="A424" s="11" t="s">
        <v>9939</v>
      </c>
      <c r="B424" t="s">
        <v>16</v>
      </c>
      <c r="C424" s="2" t="s">
        <v>8337</v>
      </c>
      <c r="D424" t="s">
        <v>3174</v>
      </c>
      <c r="E424" t="s">
        <v>3173</v>
      </c>
      <c r="H424" t="s">
        <v>3179</v>
      </c>
      <c r="K424" t="s">
        <v>3175</v>
      </c>
      <c r="M424" t="str">
        <f>"14622203"</f>
        <v>14622203</v>
      </c>
      <c r="N424" s="2" t="str">
        <f>"20131101"</f>
        <v>20131101</v>
      </c>
      <c r="O424">
        <v>15</v>
      </c>
      <c r="P424">
        <v>11</v>
      </c>
      <c r="Q424">
        <v>1910</v>
      </c>
      <c r="R424">
        <v>8</v>
      </c>
      <c r="S424" t="s">
        <v>3176</v>
      </c>
      <c r="T424" t="s">
        <v>3177</v>
      </c>
      <c r="U424" t="s">
        <v>675</v>
      </c>
      <c r="V424" t="s">
        <v>3178</v>
      </c>
      <c r="X424" t="s">
        <v>3180</v>
      </c>
      <c r="Y424" t="b">
        <f t="shared" si="6"/>
        <v>1</v>
      </c>
    </row>
    <row r="425" spans="1:25" hidden="1">
      <c r="A425" s="11" t="s">
        <v>9939</v>
      </c>
      <c r="B425" t="s">
        <v>69</v>
      </c>
      <c r="C425" s="2" t="s">
        <v>8336</v>
      </c>
      <c r="D425" t="s">
        <v>3182</v>
      </c>
      <c r="E425" t="s">
        <v>3181</v>
      </c>
      <c r="H425" t="s">
        <v>3186</v>
      </c>
      <c r="K425" t="s">
        <v>65</v>
      </c>
      <c r="M425" t="str">
        <f>"04194209"</f>
        <v>04194209</v>
      </c>
      <c r="N425" s="2" t="str">
        <f>"20070101"</f>
        <v>20070101</v>
      </c>
      <c r="O425">
        <v>68</v>
      </c>
      <c r="P425" t="s">
        <v>3183</v>
      </c>
      <c r="Q425">
        <v>883</v>
      </c>
      <c r="R425">
        <v>1</v>
      </c>
      <c r="S425" t="s">
        <v>3184</v>
      </c>
      <c r="U425" t="s">
        <v>68</v>
      </c>
      <c r="V425" t="s">
        <v>3185</v>
      </c>
      <c r="X425" t="s">
        <v>3187</v>
      </c>
      <c r="Y425" t="b">
        <f t="shared" si="6"/>
        <v>1</v>
      </c>
    </row>
    <row r="426" spans="1:25">
      <c r="A426" s="11" t="s">
        <v>9939</v>
      </c>
      <c r="B426" t="s">
        <v>16</v>
      </c>
      <c r="C426" s="2" t="s">
        <v>8339</v>
      </c>
      <c r="D426" t="s">
        <v>3189</v>
      </c>
      <c r="E426" t="s">
        <v>3188</v>
      </c>
      <c r="F426" s="20">
        <v>1</v>
      </c>
      <c r="H426" t="s">
        <v>3193</v>
      </c>
      <c r="I426">
        <v>1</v>
      </c>
      <c r="K426" t="s">
        <v>40</v>
      </c>
      <c r="M426" t="str">
        <f>"15571912"</f>
        <v>15571912</v>
      </c>
      <c r="N426" s="2" t="str">
        <f>"20150201"</f>
        <v>20150201</v>
      </c>
      <c r="O426">
        <v>17</v>
      </c>
      <c r="P426">
        <v>1</v>
      </c>
      <c r="Q426">
        <v>198</v>
      </c>
      <c r="R426">
        <v>10</v>
      </c>
      <c r="S426" t="s">
        <v>3190</v>
      </c>
      <c r="T426" t="s">
        <v>3191</v>
      </c>
      <c r="U426" t="s">
        <v>42</v>
      </c>
      <c r="V426" t="s">
        <v>3192</v>
      </c>
      <c r="X426" t="s">
        <v>3194</v>
      </c>
      <c r="Y426" t="b">
        <f t="shared" si="6"/>
        <v>0</v>
      </c>
    </row>
    <row r="427" spans="1:25">
      <c r="A427" s="11" t="s">
        <v>9939</v>
      </c>
      <c r="B427" t="s">
        <v>69</v>
      </c>
      <c r="C427" s="2" t="s">
        <v>8334</v>
      </c>
      <c r="D427" t="s">
        <v>3196</v>
      </c>
      <c r="E427" t="s">
        <v>3195</v>
      </c>
      <c r="F427" s="20">
        <v>1</v>
      </c>
      <c r="H427" t="s">
        <v>3199</v>
      </c>
      <c r="I427">
        <v>1</v>
      </c>
      <c r="K427" t="s">
        <v>65</v>
      </c>
      <c r="L427" t="str">
        <f>"9781303078330"</f>
        <v>9781303078330</v>
      </c>
      <c r="M427" t="str">
        <f>"04194209"</f>
        <v>04194209</v>
      </c>
      <c r="N427" s="2" t="str">
        <f>"20140101"</f>
        <v>20140101</v>
      </c>
      <c r="O427">
        <v>74</v>
      </c>
      <c r="P427" t="s">
        <v>1449</v>
      </c>
      <c r="S427" t="s">
        <v>3197</v>
      </c>
      <c r="U427" t="s">
        <v>68</v>
      </c>
      <c r="V427" t="s">
        <v>3198</v>
      </c>
      <c r="X427" t="s">
        <v>3200</v>
      </c>
      <c r="Y427" t="b">
        <f t="shared" si="6"/>
        <v>0</v>
      </c>
    </row>
    <row r="428" spans="1:25">
      <c r="A428" s="11" t="s">
        <v>9939</v>
      </c>
      <c r="B428" t="s">
        <v>69</v>
      </c>
      <c r="C428" s="2" t="s">
        <v>8337</v>
      </c>
      <c r="D428" t="s">
        <v>3202</v>
      </c>
      <c r="E428" t="s">
        <v>3201</v>
      </c>
      <c r="F428" s="20">
        <v>1</v>
      </c>
      <c r="H428" t="s">
        <v>3205</v>
      </c>
      <c r="I428">
        <v>1</v>
      </c>
      <c r="K428" t="s">
        <v>101</v>
      </c>
      <c r="L428" t="str">
        <f>"9781267465160"</f>
        <v>9781267465160</v>
      </c>
      <c r="M428" t="str">
        <f>"04194217"</f>
        <v>04194217</v>
      </c>
      <c r="N428" s="2" t="str">
        <f>"20130101"</f>
        <v>20130101</v>
      </c>
      <c r="O428">
        <v>74</v>
      </c>
      <c r="P428" t="s">
        <v>711</v>
      </c>
      <c r="S428" t="s">
        <v>3203</v>
      </c>
      <c r="U428" t="s">
        <v>68</v>
      </c>
      <c r="V428" t="s">
        <v>3204</v>
      </c>
      <c r="X428" t="s">
        <v>3206</v>
      </c>
      <c r="Y428" t="b">
        <f t="shared" si="6"/>
        <v>0</v>
      </c>
    </row>
    <row r="429" spans="1:25">
      <c r="A429" s="11" t="s">
        <v>9939</v>
      </c>
      <c r="B429" t="s">
        <v>395</v>
      </c>
      <c r="C429" s="2" t="s">
        <v>8344</v>
      </c>
      <c r="D429" t="s">
        <v>3208</v>
      </c>
      <c r="E429" t="s">
        <v>3207</v>
      </c>
      <c r="F429" s="20">
        <v>1</v>
      </c>
      <c r="H429" t="s">
        <v>3213</v>
      </c>
      <c r="I429">
        <v>1</v>
      </c>
      <c r="K429" t="s">
        <v>3209</v>
      </c>
      <c r="L429" t="str">
        <f>"9812837868; 9789812837868"</f>
        <v>9812837868; 9789812837868</v>
      </c>
      <c r="N429" s="2" t="str">
        <f>"20100101"</f>
        <v>20100101</v>
      </c>
      <c r="Q429">
        <v>215</v>
      </c>
      <c r="R429">
        <v>24</v>
      </c>
      <c r="S429" t="s">
        <v>3210</v>
      </c>
      <c r="U429" t="s">
        <v>3211</v>
      </c>
      <c r="V429" t="s">
        <v>3212</v>
      </c>
      <c r="X429" t="s">
        <v>3214</v>
      </c>
      <c r="Y429" t="b">
        <f t="shared" si="6"/>
        <v>0</v>
      </c>
    </row>
    <row r="430" spans="1:25" hidden="1">
      <c r="A430" s="11" t="s">
        <v>9939</v>
      </c>
      <c r="B430" t="s">
        <v>16</v>
      </c>
      <c r="C430" s="2" t="s">
        <v>8336</v>
      </c>
      <c r="D430" t="s">
        <v>3216</v>
      </c>
      <c r="E430" t="s">
        <v>3215</v>
      </c>
      <c r="F430" s="20">
        <v>0</v>
      </c>
      <c r="G430" s="20" t="s">
        <v>9178</v>
      </c>
      <c r="H430" t="s">
        <v>3221</v>
      </c>
      <c r="K430" t="s">
        <v>3217</v>
      </c>
      <c r="M430" t="str">
        <f>"08946566"</f>
        <v>08946566</v>
      </c>
      <c r="N430" s="2" t="str">
        <f>"20070101"</f>
        <v>20070101</v>
      </c>
      <c r="O430">
        <v>19</v>
      </c>
      <c r="P430" s="1">
        <v>44289</v>
      </c>
      <c r="Q430" s="1">
        <v>1</v>
      </c>
      <c r="R430">
        <v>17</v>
      </c>
      <c r="S430" t="s">
        <v>3218</v>
      </c>
      <c r="T430" t="s">
        <v>3219</v>
      </c>
      <c r="U430" t="s">
        <v>420</v>
      </c>
      <c r="V430" t="s">
        <v>3220</v>
      </c>
      <c r="X430" t="s">
        <v>3222</v>
      </c>
      <c r="Y430" t="b">
        <f t="shared" si="6"/>
        <v>0</v>
      </c>
    </row>
    <row r="431" spans="1:25">
      <c r="A431" s="11" t="s">
        <v>9939</v>
      </c>
      <c r="B431" t="s">
        <v>16</v>
      </c>
      <c r="C431" s="2" t="s">
        <v>8341</v>
      </c>
      <c r="D431" t="s">
        <v>3224</v>
      </c>
      <c r="E431" t="s">
        <v>3223</v>
      </c>
      <c r="F431" s="20">
        <v>1</v>
      </c>
      <c r="H431" t="s">
        <v>3228</v>
      </c>
      <c r="I431">
        <v>1</v>
      </c>
      <c r="K431" t="s">
        <v>2460</v>
      </c>
      <c r="M431" t="str">
        <f>"00121649"</f>
        <v>00121649</v>
      </c>
      <c r="N431" s="2" t="str">
        <f>"20091101"</f>
        <v>20091101</v>
      </c>
      <c r="O431">
        <v>45</v>
      </c>
      <c r="P431">
        <v>6</v>
      </c>
      <c r="Q431">
        <v>1682</v>
      </c>
      <c r="R431">
        <v>13</v>
      </c>
      <c r="S431" t="s">
        <v>3225</v>
      </c>
      <c r="T431" t="s">
        <v>3226</v>
      </c>
      <c r="U431" t="s">
        <v>59</v>
      </c>
      <c r="V431" t="s">
        <v>3227</v>
      </c>
      <c r="X431" t="s">
        <v>3229</v>
      </c>
      <c r="Y431" t="b">
        <f t="shared" si="6"/>
        <v>0</v>
      </c>
    </row>
    <row r="432" spans="1:25" hidden="1">
      <c r="A432" s="11" t="s">
        <v>9939</v>
      </c>
      <c r="B432" t="s">
        <v>69</v>
      </c>
      <c r="C432" s="2" t="s">
        <v>8345</v>
      </c>
      <c r="D432" t="s">
        <v>3231</v>
      </c>
      <c r="E432" t="s">
        <v>3230</v>
      </c>
      <c r="F432" s="20">
        <v>0</v>
      </c>
      <c r="G432" s="20" t="s">
        <v>9178</v>
      </c>
      <c r="H432" t="s">
        <v>3234</v>
      </c>
      <c r="K432" t="s">
        <v>65</v>
      </c>
      <c r="L432" t="str">
        <f>"9798607322816"</f>
        <v>9798607322816</v>
      </c>
      <c r="M432" t="str">
        <f>"04194209"</f>
        <v>04194209</v>
      </c>
      <c r="N432" s="2" t="str">
        <f>"20200101"</f>
        <v>20200101</v>
      </c>
      <c r="O432">
        <v>81</v>
      </c>
      <c r="P432" t="s">
        <v>627</v>
      </c>
      <c r="S432" t="s">
        <v>3232</v>
      </c>
      <c r="U432" t="s">
        <v>68</v>
      </c>
      <c r="V432" t="s">
        <v>3233</v>
      </c>
      <c r="X432" t="s">
        <v>3235</v>
      </c>
      <c r="Y432" t="b">
        <f t="shared" si="6"/>
        <v>0</v>
      </c>
    </row>
    <row r="433" spans="1:25" hidden="1">
      <c r="A433" s="11" t="s">
        <v>9939</v>
      </c>
      <c r="B433" t="s">
        <v>16</v>
      </c>
      <c r="C433" s="2" t="s">
        <v>8334</v>
      </c>
      <c r="D433" t="s">
        <v>3237</v>
      </c>
      <c r="E433" t="s">
        <v>3236</v>
      </c>
      <c r="H433" t="s">
        <v>3241</v>
      </c>
      <c r="K433" t="s">
        <v>132</v>
      </c>
      <c r="M433" t="str">
        <f>"01471767"</f>
        <v>01471767</v>
      </c>
      <c r="N433" s="2" t="str">
        <f>"20140101"</f>
        <v>20140101</v>
      </c>
      <c r="O433">
        <v>38</v>
      </c>
      <c r="Q433">
        <v>36</v>
      </c>
      <c r="R433">
        <v>11</v>
      </c>
      <c r="S433" t="s">
        <v>3238</v>
      </c>
      <c r="T433" t="s">
        <v>3239</v>
      </c>
      <c r="U433" t="s">
        <v>34</v>
      </c>
      <c r="V433" t="s">
        <v>3240</v>
      </c>
      <c r="X433" t="s">
        <v>3242</v>
      </c>
      <c r="Y433" t="b">
        <f t="shared" si="6"/>
        <v>1</v>
      </c>
    </row>
    <row r="434" spans="1:25" hidden="1">
      <c r="A434" s="11" t="s">
        <v>9939</v>
      </c>
      <c r="B434" t="s">
        <v>16</v>
      </c>
      <c r="C434" s="2" t="s">
        <v>8343</v>
      </c>
      <c r="D434" t="s">
        <v>3244</v>
      </c>
      <c r="E434" t="s">
        <v>3243</v>
      </c>
      <c r="H434" t="s">
        <v>3249</v>
      </c>
      <c r="K434" t="s">
        <v>3245</v>
      </c>
      <c r="M434" t="str">
        <f>"00110000"</f>
        <v>00110000</v>
      </c>
      <c r="N434" s="2" t="str">
        <f>"20171101"</f>
        <v>20171101</v>
      </c>
      <c r="O434">
        <v>45</v>
      </c>
      <c r="P434">
        <v>8</v>
      </c>
      <c r="Q434">
        <v>1115</v>
      </c>
      <c r="R434">
        <v>26</v>
      </c>
      <c r="S434" t="s">
        <v>3246</v>
      </c>
      <c r="T434" t="s">
        <v>3247</v>
      </c>
      <c r="U434" t="s">
        <v>15</v>
      </c>
      <c r="V434" t="s">
        <v>3248</v>
      </c>
      <c r="X434" t="s">
        <v>3250</v>
      </c>
      <c r="Y434" t="b">
        <f t="shared" si="6"/>
        <v>1</v>
      </c>
    </row>
    <row r="435" spans="1:25">
      <c r="A435" s="11" t="s">
        <v>9939</v>
      </c>
      <c r="B435" t="s">
        <v>16</v>
      </c>
      <c r="C435" s="2" t="s">
        <v>8337</v>
      </c>
      <c r="D435" t="s">
        <v>3252</v>
      </c>
      <c r="E435" t="s">
        <v>3251</v>
      </c>
      <c r="F435" s="20">
        <v>1</v>
      </c>
      <c r="H435" t="s">
        <v>3256</v>
      </c>
      <c r="I435">
        <v>1</v>
      </c>
      <c r="K435" t="s">
        <v>2634</v>
      </c>
      <c r="M435" t="str">
        <f>"19326203"</f>
        <v>19326203</v>
      </c>
      <c r="N435" s="2" t="str">
        <f>"20130123"</f>
        <v>20130123</v>
      </c>
      <c r="O435">
        <v>8</v>
      </c>
      <c r="P435">
        <v>1</v>
      </c>
      <c r="S435" t="s">
        <v>3253</v>
      </c>
      <c r="T435" t="s">
        <v>3254</v>
      </c>
      <c r="U435" t="s">
        <v>2637</v>
      </c>
      <c r="V435" t="s">
        <v>3255</v>
      </c>
      <c r="X435" t="s">
        <v>3257</v>
      </c>
      <c r="Y435" t="b">
        <f t="shared" si="6"/>
        <v>0</v>
      </c>
    </row>
    <row r="436" spans="1:25">
      <c r="A436" s="11" t="s">
        <v>9939</v>
      </c>
      <c r="B436" t="s">
        <v>16</v>
      </c>
      <c r="C436" s="2" t="s">
        <v>8347</v>
      </c>
      <c r="D436" t="s">
        <v>3259</v>
      </c>
      <c r="E436" t="s">
        <v>3258</v>
      </c>
      <c r="F436" s="20">
        <v>1</v>
      </c>
      <c r="H436" t="s">
        <v>3263</v>
      </c>
      <c r="I436">
        <v>0</v>
      </c>
      <c r="J436" t="s">
        <v>9237</v>
      </c>
      <c r="K436" t="s">
        <v>1029</v>
      </c>
      <c r="M436" t="str">
        <f>"01401971"</f>
        <v>01401971</v>
      </c>
      <c r="N436" s="2" t="str">
        <f>"20080401"</f>
        <v>20080401</v>
      </c>
      <c r="O436">
        <v>31</v>
      </c>
      <c r="P436">
        <v>2</v>
      </c>
      <c r="Q436">
        <v>259</v>
      </c>
      <c r="R436">
        <v>21</v>
      </c>
      <c r="S436" t="s">
        <v>3260</v>
      </c>
      <c r="T436" t="s">
        <v>3261</v>
      </c>
      <c r="U436" t="s">
        <v>34</v>
      </c>
      <c r="V436" t="s">
        <v>3262</v>
      </c>
      <c r="X436" t="s">
        <v>3264</v>
      </c>
      <c r="Y436" t="b">
        <f t="shared" si="6"/>
        <v>0</v>
      </c>
    </row>
    <row r="437" spans="1:25" hidden="1">
      <c r="A437" s="11" t="s">
        <v>9939</v>
      </c>
      <c r="B437" t="s">
        <v>69</v>
      </c>
      <c r="C437" s="2" t="s">
        <v>8353</v>
      </c>
      <c r="D437" t="s">
        <v>3266</v>
      </c>
      <c r="E437" t="s">
        <v>3265</v>
      </c>
      <c r="F437" s="20">
        <v>0</v>
      </c>
      <c r="G437" s="20" t="s">
        <v>9178</v>
      </c>
      <c r="H437" t="s">
        <v>3269</v>
      </c>
      <c r="K437" t="s">
        <v>65</v>
      </c>
      <c r="L437" t="str">
        <f>"9781321819625"</f>
        <v>9781321819625</v>
      </c>
      <c r="M437" t="str">
        <f>"04194209"</f>
        <v>04194209</v>
      </c>
      <c r="N437" s="2" t="str">
        <f>"20160101"</f>
        <v>20160101</v>
      </c>
      <c r="O437">
        <v>76</v>
      </c>
      <c r="P437" t="s">
        <v>378</v>
      </c>
      <c r="S437" t="s">
        <v>3267</v>
      </c>
      <c r="U437" t="s">
        <v>68</v>
      </c>
      <c r="V437" t="s">
        <v>3268</v>
      </c>
      <c r="X437" t="s">
        <v>3270</v>
      </c>
      <c r="Y437" t="b">
        <f t="shared" si="6"/>
        <v>0</v>
      </c>
    </row>
    <row r="438" spans="1:25">
      <c r="A438" s="11" t="s">
        <v>9939</v>
      </c>
      <c r="B438" t="s">
        <v>16</v>
      </c>
      <c r="C438" s="2" t="s">
        <v>8340</v>
      </c>
      <c r="D438" t="s">
        <v>3272</v>
      </c>
      <c r="E438" t="s">
        <v>3271</v>
      </c>
      <c r="F438" s="20">
        <v>1</v>
      </c>
      <c r="H438" t="s">
        <v>3276</v>
      </c>
      <c r="I438">
        <v>1</v>
      </c>
      <c r="K438" t="s">
        <v>1414</v>
      </c>
      <c r="M438" t="str">
        <f>"13557858"</f>
        <v>13557858</v>
      </c>
      <c r="N438" s="2" t="str">
        <f>"20180501"</f>
        <v>20180501</v>
      </c>
      <c r="O438">
        <v>23</v>
      </c>
      <c r="P438">
        <v>4</v>
      </c>
      <c r="Q438">
        <v>425</v>
      </c>
      <c r="R438">
        <v>17</v>
      </c>
      <c r="S438" t="s">
        <v>3273</v>
      </c>
      <c r="T438" t="s">
        <v>3274</v>
      </c>
      <c r="U438" t="s">
        <v>87</v>
      </c>
      <c r="V438" t="s">
        <v>3275</v>
      </c>
      <c r="X438" t="s">
        <v>3277</v>
      </c>
      <c r="Y438" t="b">
        <f t="shared" si="6"/>
        <v>0</v>
      </c>
    </row>
    <row r="439" spans="1:25">
      <c r="A439" s="11" t="s">
        <v>9939</v>
      </c>
      <c r="B439" t="s">
        <v>16</v>
      </c>
      <c r="C439" s="2" t="s">
        <v>8346</v>
      </c>
      <c r="D439" t="s">
        <v>3279</v>
      </c>
      <c r="E439" t="s">
        <v>3278</v>
      </c>
      <c r="F439" s="20">
        <v>1</v>
      </c>
      <c r="G439" s="20"/>
      <c r="H439" t="s">
        <v>3283</v>
      </c>
      <c r="I439">
        <v>1</v>
      </c>
      <c r="K439" t="s">
        <v>370</v>
      </c>
      <c r="M439" t="str">
        <f>"00207594"</f>
        <v>00207594</v>
      </c>
      <c r="N439" s="2" t="str">
        <f>"20110601"</f>
        <v>20110601</v>
      </c>
      <c r="O439">
        <v>46</v>
      </c>
      <c r="P439">
        <v>3</v>
      </c>
      <c r="Q439">
        <v>223</v>
      </c>
      <c r="R439">
        <v>11</v>
      </c>
      <c r="S439" t="s">
        <v>3280</v>
      </c>
      <c r="T439" t="s">
        <v>3281</v>
      </c>
      <c r="U439" t="s">
        <v>87</v>
      </c>
      <c r="V439" t="s">
        <v>3282</v>
      </c>
      <c r="X439" t="s">
        <v>3284</v>
      </c>
      <c r="Y439" t="b">
        <f t="shared" si="6"/>
        <v>0</v>
      </c>
    </row>
    <row r="440" spans="1:25">
      <c r="A440" s="11" t="s">
        <v>9939</v>
      </c>
      <c r="B440" t="s">
        <v>16</v>
      </c>
      <c r="C440" s="2" t="s">
        <v>8344</v>
      </c>
      <c r="D440" t="s">
        <v>3286</v>
      </c>
      <c r="E440" t="s">
        <v>3285</v>
      </c>
      <c r="F440" s="20">
        <v>1</v>
      </c>
      <c r="H440" t="s">
        <v>3290</v>
      </c>
      <c r="I440">
        <v>1</v>
      </c>
      <c r="K440" t="s">
        <v>3175</v>
      </c>
      <c r="M440" t="str">
        <f>"14622203"</f>
        <v>14622203</v>
      </c>
      <c r="N440" s="2" t="str">
        <f>"20100701"</f>
        <v>20100701</v>
      </c>
      <c r="O440">
        <v>12</v>
      </c>
      <c r="P440">
        <v>7</v>
      </c>
      <c r="Q440">
        <v>715</v>
      </c>
      <c r="R440">
        <v>9</v>
      </c>
      <c r="S440" t="s">
        <v>3287</v>
      </c>
      <c r="T440" t="s">
        <v>3288</v>
      </c>
      <c r="U440" t="s">
        <v>675</v>
      </c>
      <c r="V440" t="s">
        <v>3289</v>
      </c>
      <c r="X440" t="s">
        <v>3291</v>
      </c>
      <c r="Y440" t="b">
        <f t="shared" si="6"/>
        <v>0</v>
      </c>
    </row>
    <row r="441" spans="1:25" hidden="1">
      <c r="A441" s="11" t="s">
        <v>9939</v>
      </c>
      <c r="B441" t="s">
        <v>69</v>
      </c>
      <c r="C441" s="2" t="s">
        <v>8340</v>
      </c>
      <c r="D441" t="s">
        <v>3293</v>
      </c>
      <c r="E441" t="s">
        <v>3292</v>
      </c>
      <c r="F441" s="20">
        <v>0</v>
      </c>
      <c r="G441" t="s">
        <v>9249</v>
      </c>
      <c r="H441" t="s">
        <v>3297</v>
      </c>
      <c r="K441" t="s">
        <v>101</v>
      </c>
      <c r="L441" t="str">
        <f>"9781369758344"</f>
        <v>9781369758344</v>
      </c>
      <c r="M441" t="str">
        <f>"04194217"</f>
        <v>04194217</v>
      </c>
      <c r="N441" s="2" t="str">
        <f>"20180101"</f>
        <v>20180101</v>
      </c>
      <c r="O441">
        <v>78</v>
      </c>
      <c r="P441" t="s">
        <v>3294</v>
      </c>
      <c r="S441" t="s">
        <v>3295</v>
      </c>
      <c r="U441" t="s">
        <v>68</v>
      </c>
      <c r="V441" t="s">
        <v>3296</v>
      </c>
      <c r="X441" t="s">
        <v>3298</v>
      </c>
      <c r="Y441" t="b">
        <f t="shared" si="6"/>
        <v>0</v>
      </c>
    </row>
    <row r="442" spans="1:25" hidden="1">
      <c r="A442" s="11" t="s">
        <v>9939</v>
      </c>
      <c r="B442" t="s">
        <v>16</v>
      </c>
      <c r="C442" s="2" t="s">
        <v>8346</v>
      </c>
      <c r="D442" t="s">
        <v>3300</v>
      </c>
      <c r="E442" t="s">
        <v>3299</v>
      </c>
      <c r="F442" s="20">
        <v>0</v>
      </c>
      <c r="G442" s="20" t="s">
        <v>9178</v>
      </c>
      <c r="H442" t="s">
        <v>3305</v>
      </c>
      <c r="K442" t="s">
        <v>3301</v>
      </c>
      <c r="M442" t="str">
        <f>"01650327"</f>
        <v>01650327</v>
      </c>
      <c r="N442" s="2" t="str">
        <f>"20110401"</f>
        <v>20110401</v>
      </c>
      <c r="O442">
        <v>130</v>
      </c>
      <c r="P442" s="1">
        <v>44228</v>
      </c>
      <c r="Q442" s="1">
        <v>334</v>
      </c>
      <c r="R442">
        <v>8</v>
      </c>
      <c r="S442" t="s">
        <v>3302</v>
      </c>
      <c r="T442" t="s">
        <v>3303</v>
      </c>
      <c r="U442" t="s">
        <v>34</v>
      </c>
      <c r="V442" t="s">
        <v>3304</v>
      </c>
      <c r="X442" t="s">
        <v>3306</v>
      </c>
      <c r="Y442" t="b">
        <f t="shared" si="6"/>
        <v>0</v>
      </c>
    </row>
    <row r="443" spans="1:25" hidden="1">
      <c r="A443" s="11" t="s">
        <v>9939</v>
      </c>
      <c r="B443" t="s">
        <v>16</v>
      </c>
      <c r="C443" s="2" t="s">
        <v>8343</v>
      </c>
      <c r="D443" t="s">
        <v>3308</v>
      </c>
      <c r="E443" t="s">
        <v>3307</v>
      </c>
      <c r="F443" s="20">
        <v>0</v>
      </c>
      <c r="G443" s="20" t="s">
        <v>9249</v>
      </c>
      <c r="H443" t="s">
        <v>3313</v>
      </c>
      <c r="K443" t="s">
        <v>3309</v>
      </c>
      <c r="M443" t="str">
        <f>"0192513X"</f>
        <v>0192513X</v>
      </c>
      <c r="N443" s="2" t="str">
        <f>"20170501"</f>
        <v>20170501</v>
      </c>
      <c r="O443">
        <v>38</v>
      </c>
      <c r="P443">
        <v>7</v>
      </c>
      <c r="Q443">
        <v>904</v>
      </c>
      <c r="R443">
        <v>17</v>
      </c>
      <c r="S443" t="s">
        <v>3310</v>
      </c>
      <c r="T443" t="s">
        <v>3311</v>
      </c>
      <c r="U443" t="s">
        <v>15</v>
      </c>
      <c r="V443" t="s">
        <v>3312</v>
      </c>
      <c r="X443" t="s">
        <v>3314</v>
      </c>
      <c r="Y443" t="b">
        <f t="shared" si="6"/>
        <v>0</v>
      </c>
    </row>
    <row r="444" spans="1:25">
      <c r="A444" s="11" t="s">
        <v>9939</v>
      </c>
      <c r="B444" t="s">
        <v>16</v>
      </c>
      <c r="C444" s="2" t="s">
        <v>8339</v>
      </c>
      <c r="D444" t="s">
        <v>3316</v>
      </c>
      <c r="E444" t="s">
        <v>3315</v>
      </c>
      <c r="F444" s="20">
        <v>1</v>
      </c>
      <c r="H444" t="s">
        <v>3320</v>
      </c>
      <c r="I444">
        <v>1</v>
      </c>
      <c r="K444" t="s">
        <v>132</v>
      </c>
      <c r="M444" t="str">
        <f>"01471767"</f>
        <v>01471767</v>
      </c>
      <c r="N444" s="2" t="str">
        <f>"20150301"</f>
        <v>20150301</v>
      </c>
      <c r="O444">
        <v>45</v>
      </c>
      <c r="Q444">
        <v>70</v>
      </c>
      <c r="R444">
        <v>15</v>
      </c>
      <c r="S444" t="s">
        <v>3317</v>
      </c>
      <c r="T444" t="s">
        <v>3318</v>
      </c>
      <c r="U444" t="s">
        <v>34</v>
      </c>
      <c r="V444" t="s">
        <v>3319</v>
      </c>
      <c r="X444" t="s">
        <v>3321</v>
      </c>
      <c r="Y444" t="b">
        <f t="shared" si="6"/>
        <v>0</v>
      </c>
    </row>
    <row r="445" spans="1:25" hidden="1">
      <c r="A445" s="11" t="s">
        <v>9939</v>
      </c>
      <c r="B445" t="s">
        <v>69</v>
      </c>
      <c r="C445" s="2" t="s">
        <v>8342</v>
      </c>
      <c r="D445" t="s">
        <v>3323</v>
      </c>
      <c r="E445" t="s">
        <v>3322</v>
      </c>
      <c r="F445" s="20">
        <v>0</v>
      </c>
      <c r="G445" s="20" t="s">
        <v>9178</v>
      </c>
      <c r="H445" t="s">
        <v>3327</v>
      </c>
      <c r="K445" t="s">
        <v>65</v>
      </c>
      <c r="L445" t="str">
        <f>"9780494780589"</f>
        <v>9780494780589</v>
      </c>
      <c r="M445" t="str">
        <f>"04194209"</f>
        <v>04194209</v>
      </c>
      <c r="N445" s="2" t="str">
        <f>"20120101"</f>
        <v>20120101</v>
      </c>
      <c r="O445">
        <v>73</v>
      </c>
      <c r="P445" t="s">
        <v>3324</v>
      </c>
      <c r="Q445">
        <v>2214</v>
      </c>
      <c r="R445">
        <v>1</v>
      </c>
      <c r="S445" t="s">
        <v>3325</v>
      </c>
      <c r="U445" t="s">
        <v>68</v>
      </c>
      <c r="V445" t="s">
        <v>3326</v>
      </c>
      <c r="X445" t="s">
        <v>3328</v>
      </c>
      <c r="Y445" t="b">
        <f t="shared" si="6"/>
        <v>0</v>
      </c>
    </row>
    <row r="446" spans="1:25" hidden="1">
      <c r="A446" s="11" t="s">
        <v>9939</v>
      </c>
      <c r="B446" t="s">
        <v>16</v>
      </c>
      <c r="C446" s="2" t="s">
        <v>8346</v>
      </c>
      <c r="D446" t="s">
        <v>3330</v>
      </c>
      <c r="E446" t="s">
        <v>3329</v>
      </c>
      <c r="H446" t="s">
        <v>3334</v>
      </c>
      <c r="K446" t="s">
        <v>40</v>
      </c>
      <c r="M446" t="str">
        <f>"15571912"</f>
        <v>15571912</v>
      </c>
      <c r="N446" s="2" t="str">
        <f>"20110601"</f>
        <v>20110601</v>
      </c>
      <c r="O446">
        <v>13</v>
      </c>
      <c r="P446">
        <v>3</v>
      </c>
      <c r="Q446">
        <v>533</v>
      </c>
      <c r="R446">
        <v>8</v>
      </c>
      <c r="S446" t="s">
        <v>3331</v>
      </c>
      <c r="T446" t="s">
        <v>3332</v>
      </c>
      <c r="U446" t="s">
        <v>42</v>
      </c>
      <c r="V446" t="s">
        <v>3333</v>
      </c>
      <c r="X446" t="s">
        <v>3335</v>
      </c>
      <c r="Y446" t="b">
        <f t="shared" si="6"/>
        <v>1</v>
      </c>
    </row>
    <row r="447" spans="1:25" hidden="1">
      <c r="A447" s="11" t="s">
        <v>9939</v>
      </c>
      <c r="B447" t="s">
        <v>16</v>
      </c>
      <c r="C447" s="2" t="s">
        <v>8342</v>
      </c>
      <c r="D447" t="s">
        <v>3337</v>
      </c>
      <c r="E447" t="s">
        <v>3336</v>
      </c>
      <c r="H447" t="s">
        <v>3341</v>
      </c>
      <c r="K447" t="s">
        <v>1272</v>
      </c>
      <c r="M447" t="str">
        <f>"13674676"</f>
        <v>13674676</v>
      </c>
      <c r="N447" s="2" t="str">
        <f>"20120101"</f>
        <v>20120101</v>
      </c>
      <c r="O447">
        <v>15</v>
      </c>
      <c r="P447">
        <v>1</v>
      </c>
      <c r="Q447">
        <v>1</v>
      </c>
      <c r="R447">
        <v>22</v>
      </c>
      <c r="S447" t="s">
        <v>3338</v>
      </c>
      <c r="T447" t="s">
        <v>3339</v>
      </c>
      <c r="U447" t="s">
        <v>87</v>
      </c>
      <c r="V447" t="s">
        <v>3340</v>
      </c>
      <c r="X447" t="s">
        <v>3342</v>
      </c>
      <c r="Y447" t="b">
        <f t="shared" si="6"/>
        <v>1</v>
      </c>
    </row>
    <row r="448" spans="1:25" hidden="1">
      <c r="A448" s="11" t="s">
        <v>9939</v>
      </c>
      <c r="B448" t="s">
        <v>16</v>
      </c>
      <c r="C448" s="2" t="s">
        <v>8353</v>
      </c>
      <c r="D448" t="s">
        <v>3344</v>
      </c>
      <c r="E448" t="s">
        <v>3343</v>
      </c>
      <c r="H448" t="s">
        <v>3348</v>
      </c>
      <c r="K448" t="s">
        <v>197</v>
      </c>
      <c r="M448" t="str">
        <f>"10436596"</f>
        <v>10436596</v>
      </c>
      <c r="N448" s="2" t="str">
        <f>"20160301"</f>
        <v>20160301</v>
      </c>
      <c r="O448">
        <v>27</v>
      </c>
      <c r="P448">
        <v>2</v>
      </c>
      <c r="Q448">
        <v>126</v>
      </c>
      <c r="R448">
        <v>10</v>
      </c>
      <c r="S448" t="s">
        <v>3345</v>
      </c>
      <c r="T448" t="s">
        <v>3346</v>
      </c>
      <c r="U448" t="s">
        <v>15</v>
      </c>
      <c r="V448" t="s">
        <v>3347</v>
      </c>
      <c r="X448" t="s">
        <v>3349</v>
      </c>
      <c r="Y448" t="b">
        <f t="shared" si="6"/>
        <v>1</v>
      </c>
    </row>
    <row r="449" spans="1:25">
      <c r="A449" s="11" t="s">
        <v>9939</v>
      </c>
      <c r="B449" t="s">
        <v>69</v>
      </c>
      <c r="C449" s="2" t="s">
        <v>8339</v>
      </c>
      <c r="D449" t="s">
        <v>3351</v>
      </c>
      <c r="E449" t="s">
        <v>3350</v>
      </c>
      <c r="F449" s="20">
        <v>1</v>
      </c>
      <c r="H449" t="s">
        <v>3354</v>
      </c>
      <c r="I449">
        <v>1</v>
      </c>
      <c r="K449" t="s">
        <v>65</v>
      </c>
      <c r="L449" t="str">
        <f>"9781321243321"</f>
        <v>9781321243321</v>
      </c>
      <c r="M449" t="str">
        <f>"04194209"</f>
        <v>04194209</v>
      </c>
      <c r="N449" s="2" t="str">
        <f>"20150101"</f>
        <v>20150101</v>
      </c>
      <c r="O449">
        <v>76</v>
      </c>
      <c r="P449" t="s">
        <v>66</v>
      </c>
      <c r="S449" t="s">
        <v>3352</v>
      </c>
      <c r="U449" t="s">
        <v>68</v>
      </c>
      <c r="V449" t="s">
        <v>3353</v>
      </c>
      <c r="X449" t="s">
        <v>3355</v>
      </c>
      <c r="Y449" t="b">
        <f t="shared" si="6"/>
        <v>0</v>
      </c>
    </row>
    <row r="450" spans="1:25" hidden="1">
      <c r="A450" s="11" t="s">
        <v>9939</v>
      </c>
      <c r="B450" t="s">
        <v>16</v>
      </c>
      <c r="C450" s="2" t="s">
        <v>8353</v>
      </c>
      <c r="D450" t="s">
        <v>3357</v>
      </c>
      <c r="E450" t="s">
        <v>3356</v>
      </c>
      <c r="F450" s="20">
        <v>0</v>
      </c>
      <c r="G450" s="20" t="s">
        <v>9249</v>
      </c>
      <c r="H450" t="s">
        <v>3361</v>
      </c>
      <c r="K450" t="s">
        <v>40</v>
      </c>
      <c r="M450" t="str">
        <f>"15571912"</f>
        <v>15571912</v>
      </c>
      <c r="N450" s="2" t="str">
        <f>"20160801"</f>
        <v>20160801</v>
      </c>
      <c r="O450">
        <v>18</v>
      </c>
      <c r="P450">
        <v>4</v>
      </c>
      <c r="Q450">
        <v>718</v>
      </c>
      <c r="R450">
        <v>10</v>
      </c>
      <c r="S450" t="s">
        <v>3358</v>
      </c>
      <c r="T450" t="s">
        <v>3359</v>
      </c>
      <c r="U450" t="s">
        <v>42</v>
      </c>
      <c r="V450" t="s">
        <v>3360</v>
      </c>
      <c r="X450" t="s">
        <v>3362</v>
      </c>
      <c r="Y450" t="b">
        <f t="shared" ref="Y450:Y513" si="7">COUNTIF(X:X, X450)&gt;1</f>
        <v>0</v>
      </c>
    </row>
    <row r="451" spans="1:25" hidden="1">
      <c r="A451" s="11" t="s">
        <v>9939</v>
      </c>
      <c r="B451" t="s">
        <v>16</v>
      </c>
      <c r="C451" s="2" t="s">
        <v>8348</v>
      </c>
      <c r="D451" t="s">
        <v>3364</v>
      </c>
      <c r="E451" t="s">
        <v>3363</v>
      </c>
      <c r="H451" t="s">
        <v>3368</v>
      </c>
      <c r="K451" t="s">
        <v>2533</v>
      </c>
      <c r="M451" t="str">
        <f>"08839417"</f>
        <v>08839417</v>
      </c>
      <c r="N451" s="2" t="str">
        <f>"20051001"</f>
        <v>20051001</v>
      </c>
      <c r="O451">
        <v>19</v>
      </c>
      <c r="P451">
        <v>5</v>
      </c>
      <c r="Q451">
        <v>217</v>
      </c>
      <c r="R451">
        <v>9</v>
      </c>
      <c r="S451" t="s">
        <v>3365</v>
      </c>
      <c r="T451" t="s">
        <v>3366</v>
      </c>
      <c r="U451" t="s">
        <v>34</v>
      </c>
      <c r="V451" t="s">
        <v>3367</v>
      </c>
      <c r="X451" t="s">
        <v>3369</v>
      </c>
      <c r="Y451" t="b">
        <f t="shared" si="7"/>
        <v>1</v>
      </c>
    </row>
    <row r="452" spans="1:25">
      <c r="A452" s="11" t="s">
        <v>9939</v>
      </c>
      <c r="B452" t="s">
        <v>16</v>
      </c>
      <c r="C452" s="2" t="s">
        <v>8346</v>
      </c>
      <c r="D452" t="s">
        <v>3371</v>
      </c>
      <c r="E452" t="s">
        <v>3370</v>
      </c>
      <c r="F452" s="20">
        <v>1</v>
      </c>
      <c r="H452" t="s">
        <v>3375</v>
      </c>
      <c r="I452">
        <v>0</v>
      </c>
      <c r="J452" t="s">
        <v>9178</v>
      </c>
      <c r="K452" t="s">
        <v>1180</v>
      </c>
      <c r="M452" t="str">
        <f>"15313204"</f>
        <v>15313204</v>
      </c>
      <c r="N452" s="2" t="str">
        <f>"20111001"</f>
        <v>20111001</v>
      </c>
      <c r="O452">
        <v>20</v>
      </c>
      <c r="P452">
        <v>4</v>
      </c>
      <c r="Q452">
        <v>259</v>
      </c>
      <c r="R452">
        <v>16</v>
      </c>
      <c r="S452" t="s">
        <v>3372</v>
      </c>
      <c r="T452" t="s">
        <v>3373</v>
      </c>
      <c r="U452" t="s">
        <v>87</v>
      </c>
      <c r="V452" t="s">
        <v>3374</v>
      </c>
      <c r="X452" t="s">
        <v>3376</v>
      </c>
      <c r="Y452" t="b">
        <f t="shared" si="7"/>
        <v>0</v>
      </c>
    </row>
    <row r="453" spans="1:25">
      <c r="A453" s="11" t="s">
        <v>9939</v>
      </c>
      <c r="B453" t="s">
        <v>16</v>
      </c>
      <c r="C453" s="2" t="s">
        <v>8343</v>
      </c>
      <c r="D453" t="s">
        <v>3378</v>
      </c>
      <c r="E453" t="s">
        <v>3377</v>
      </c>
      <c r="F453" s="20">
        <v>1</v>
      </c>
      <c r="H453" t="s">
        <v>3382</v>
      </c>
      <c r="I453">
        <v>0</v>
      </c>
      <c r="J453" t="s">
        <v>9245</v>
      </c>
      <c r="K453" t="s">
        <v>1803</v>
      </c>
      <c r="M453" t="str">
        <f>"10826084"</f>
        <v>10826084</v>
      </c>
      <c r="N453" s="2" t="str">
        <f>"20170401"</f>
        <v>20170401</v>
      </c>
      <c r="O453">
        <v>52</v>
      </c>
      <c r="P453">
        <v>5</v>
      </c>
      <c r="Q453">
        <v>674</v>
      </c>
      <c r="R453">
        <v>9</v>
      </c>
      <c r="S453" t="s">
        <v>3379</v>
      </c>
      <c r="T453" t="s">
        <v>3380</v>
      </c>
      <c r="U453" t="s">
        <v>87</v>
      </c>
      <c r="V453" t="s">
        <v>3381</v>
      </c>
      <c r="X453" t="s">
        <v>3383</v>
      </c>
      <c r="Y453" t="b">
        <f t="shared" si="7"/>
        <v>0</v>
      </c>
    </row>
    <row r="454" spans="1:25">
      <c r="A454" s="11" t="s">
        <v>9939</v>
      </c>
      <c r="B454" t="s">
        <v>16</v>
      </c>
      <c r="C454" s="2" t="s">
        <v>8337</v>
      </c>
      <c r="D454" t="s">
        <v>3385</v>
      </c>
      <c r="E454" t="s">
        <v>3384</v>
      </c>
      <c r="F454" s="20">
        <v>1</v>
      </c>
      <c r="H454" t="s">
        <v>3389</v>
      </c>
      <c r="I454">
        <v>0</v>
      </c>
      <c r="J454" t="s">
        <v>9178</v>
      </c>
      <c r="K454" t="s">
        <v>1180</v>
      </c>
      <c r="M454" t="str">
        <f>"15313204"</f>
        <v>15313204</v>
      </c>
      <c r="N454" s="2" t="str">
        <f>"20130101"</f>
        <v>20130101</v>
      </c>
      <c r="O454">
        <v>22</v>
      </c>
      <c r="P454">
        <v>1</v>
      </c>
      <c r="Q454">
        <v>17</v>
      </c>
      <c r="R454">
        <v>23</v>
      </c>
      <c r="S454" t="s">
        <v>3386</v>
      </c>
      <c r="T454" t="s">
        <v>3387</v>
      </c>
      <c r="U454" t="s">
        <v>87</v>
      </c>
      <c r="V454" t="s">
        <v>3388</v>
      </c>
      <c r="X454" t="s">
        <v>3390</v>
      </c>
      <c r="Y454" t="b">
        <f t="shared" si="7"/>
        <v>0</v>
      </c>
    </row>
    <row r="455" spans="1:25">
      <c r="A455" s="11" t="s">
        <v>9939</v>
      </c>
      <c r="B455" t="s">
        <v>16</v>
      </c>
      <c r="C455" s="2" t="s">
        <v>8336</v>
      </c>
      <c r="D455" t="s">
        <v>3392</v>
      </c>
      <c r="E455" t="s">
        <v>3391</v>
      </c>
      <c r="F455" s="20">
        <v>1</v>
      </c>
      <c r="H455" t="s">
        <v>3396</v>
      </c>
      <c r="I455">
        <v>0</v>
      </c>
      <c r="J455" t="s">
        <v>9178</v>
      </c>
      <c r="K455" t="s">
        <v>93</v>
      </c>
      <c r="M455" t="str">
        <f>"00207640"</f>
        <v>00207640</v>
      </c>
      <c r="N455" s="2" t="str">
        <f>"20070501"</f>
        <v>20070501</v>
      </c>
      <c r="O455">
        <v>53</v>
      </c>
      <c r="P455">
        <v>3</v>
      </c>
      <c r="Q455">
        <v>216</v>
      </c>
      <c r="R455">
        <v>16</v>
      </c>
      <c r="S455" t="s">
        <v>3393</v>
      </c>
      <c r="T455" t="s">
        <v>3394</v>
      </c>
      <c r="U455" t="s">
        <v>15</v>
      </c>
      <c r="V455" t="s">
        <v>3395</v>
      </c>
      <c r="X455" t="s">
        <v>3397</v>
      </c>
      <c r="Y455" t="b">
        <f t="shared" si="7"/>
        <v>0</v>
      </c>
    </row>
    <row r="456" spans="1:25" hidden="1">
      <c r="A456" s="11" t="s">
        <v>9939</v>
      </c>
      <c r="B456" t="s">
        <v>16</v>
      </c>
      <c r="C456" s="2" t="s">
        <v>8337</v>
      </c>
      <c r="D456" t="s">
        <v>3399</v>
      </c>
      <c r="E456" t="s">
        <v>3398</v>
      </c>
      <c r="H456" t="s">
        <v>3403</v>
      </c>
      <c r="K456" t="s">
        <v>1896</v>
      </c>
      <c r="M456" t="str">
        <f>"03092402"</f>
        <v>03092402</v>
      </c>
      <c r="N456" s="2" t="str">
        <f>"20130301"</f>
        <v>20130301</v>
      </c>
      <c r="O456">
        <v>69</v>
      </c>
      <c r="P456">
        <v>3</v>
      </c>
      <c r="Q456">
        <v>642</v>
      </c>
      <c r="R456">
        <v>13</v>
      </c>
      <c r="S456" t="s">
        <v>3400</v>
      </c>
      <c r="T456" t="s">
        <v>3401</v>
      </c>
      <c r="U456" t="s">
        <v>730</v>
      </c>
      <c r="V456" t="s">
        <v>3402</v>
      </c>
      <c r="X456" t="s">
        <v>3404</v>
      </c>
      <c r="Y456" t="b">
        <f t="shared" si="7"/>
        <v>1</v>
      </c>
    </row>
    <row r="457" spans="1:25">
      <c r="A457" s="11" t="s">
        <v>9939</v>
      </c>
      <c r="B457" t="s">
        <v>16</v>
      </c>
      <c r="C457" s="2" t="s">
        <v>8341</v>
      </c>
      <c r="D457" t="s">
        <v>3406</v>
      </c>
      <c r="E457" t="s">
        <v>3405</v>
      </c>
      <c r="F457" s="20">
        <v>1</v>
      </c>
      <c r="H457" t="s">
        <v>3410</v>
      </c>
      <c r="I457">
        <v>0</v>
      </c>
      <c r="J457" t="s">
        <v>9178</v>
      </c>
      <c r="K457" t="s">
        <v>2923</v>
      </c>
      <c r="M457" t="str">
        <f>"15276546"</f>
        <v>15276546</v>
      </c>
      <c r="N457" s="2" t="str">
        <f>"20091201"</f>
        <v>20091201</v>
      </c>
      <c r="O457">
        <v>41</v>
      </c>
      <c r="P457">
        <v>4</v>
      </c>
      <c r="Q457">
        <v>359</v>
      </c>
      <c r="R457">
        <v>9</v>
      </c>
      <c r="S457" t="s">
        <v>3407</v>
      </c>
      <c r="T457" t="s">
        <v>3408</v>
      </c>
      <c r="U457" t="s">
        <v>730</v>
      </c>
      <c r="V457" t="s">
        <v>3409</v>
      </c>
      <c r="X457" t="s">
        <v>3411</v>
      </c>
      <c r="Y457" t="b">
        <f t="shared" si="7"/>
        <v>0</v>
      </c>
    </row>
    <row r="458" spans="1:25">
      <c r="A458" s="11" t="s">
        <v>9939</v>
      </c>
      <c r="B458" t="s">
        <v>16</v>
      </c>
      <c r="C458" s="2" t="s">
        <v>8346</v>
      </c>
      <c r="D458" t="s">
        <v>3413</v>
      </c>
      <c r="E458" t="s">
        <v>3412</v>
      </c>
      <c r="F458" s="20">
        <v>1</v>
      </c>
      <c r="H458" t="s">
        <v>3417</v>
      </c>
      <c r="I458">
        <v>0</v>
      </c>
      <c r="J458" t="s">
        <v>9245</v>
      </c>
      <c r="K458" t="s">
        <v>925</v>
      </c>
      <c r="M458" t="str">
        <f>"00378046"</f>
        <v>00378046</v>
      </c>
      <c r="N458" s="2" t="str">
        <f>"20110701"</f>
        <v>20110701</v>
      </c>
      <c r="O458">
        <v>56</v>
      </c>
      <c r="P458">
        <v>3</v>
      </c>
      <c r="Q458">
        <v>269</v>
      </c>
      <c r="R458">
        <v>11</v>
      </c>
      <c r="S458" t="s">
        <v>3414</v>
      </c>
      <c r="T458" t="s">
        <v>3415</v>
      </c>
      <c r="U458" t="s">
        <v>675</v>
      </c>
      <c r="V458" t="s">
        <v>3416</v>
      </c>
      <c r="X458" t="s">
        <v>3418</v>
      </c>
      <c r="Y458" t="b">
        <f t="shared" si="7"/>
        <v>0</v>
      </c>
    </row>
    <row r="459" spans="1:25">
      <c r="A459" s="11" t="s">
        <v>9939</v>
      </c>
      <c r="B459" t="s">
        <v>16</v>
      </c>
      <c r="C459" s="2" t="s">
        <v>8353</v>
      </c>
      <c r="D459" t="s">
        <v>3420</v>
      </c>
      <c r="E459" t="s">
        <v>3419</v>
      </c>
      <c r="F459" s="20">
        <v>1</v>
      </c>
      <c r="H459" t="s">
        <v>3425</v>
      </c>
      <c r="I459">
        <v>1</v>
      </c>
      <c r="K459" t="s">
        <v>3421</v>
      </c>
      <c r="M459" t="str">
        <f>"10105395"</f>
        <v>10105395</v>
      </c>
      <c r="N459" s="2" t="str">
        <f>"20161101"</f>
        <v>20161101</v>
      </c>
      <c r="O459">
        <v>28</v>
      </c>
      <c r="P459">
        <v>8</v>
      </c>
      <c r="Q459">
        <v>751</v>
      </c>
      <c r="R459">
        <v>14</v>
      </c>
      <c r="S459" t="s">
        <v>3422</v>
      </c>
      <c r="T459" t="s">
        <v>3423</v>
      </c>
      <c r="U459" t="s">
        <v>15</v>
      </c>
      <c r="V459" t="s">
        <v>3424</v>
      </c>
      <c r="X459" t="s">
        <v>3426</v>
      </c>
      <c r="Y459" t="b">
        <f t="shared" si="7"/>
        <v>0</v>
      </c>
    </row>
    <row r="460" spans="1:25">
      <c r="A460" s="11" t="s">
        <v>9939</v>
      </c>
      <c r="B460" t="s">
        <v>16</v>
      </c>
      <c r="C460" s="2" t="s">
        <v>8349</v>
      </c>
      <c r="D460" t="s">
        <v>3428</v>
      </c>
      <c r="E460" t="s">
        <v>3427</v>
      </c>
      <c r="F460" s="20">
        <v>1</v>
      </c>
      <c r="H460" t="s">
        <v>3433</v>
      </c>
      <c r="I460">
        <v>1</v>
      </c>
      <c r="K460" t="s">
        <v>3429</v>
      </c>
      <c r="M460" t="str">
        <f>"03069885"</f>
        <v>03069885</v>
      </c>
      <c r="N460" s="2" t="str">
        <f>"20190201"</f>
        <v>20190201</v>
      </c>
      <c r="O460">
        <v>47</v>
      </c>
      <c r="P460">
        <v>1</v>
      </c>
      <c r="Q460">
        <v>65</v>
      </c>
      <c r="R460">
        <v>16</v>
      </c>
      <c r="S460" t="s">
        <v>3430</v>
      </c>
      <c r="T460" t="s">
        <v>3431</v>
      </c>
      <c r="U460" t="s">
        <v>87</v>
      </c>
      <c r="V460" t="s">
        <v>3432</v>
      </c>
      <c r="X460" t="s">
        <v>3434</v>
      </c>
      <c r="Y460" t="b">
        <f t="shared" si="7"/>
        <v>0</v>
      </c>
    </row>
    <row r="461" spans="1:25">
      <c r="A461" s="11" t="s">
        <v>9939</v>
      </c>
      <c r="B461" t="s">
        <v>16</v>
      </c>
      <c r="C461" s="2" t="s">
        <v>8346</v>
      </c>
      <c r="D461" t="s">
        <v>3436</v>
      </c>
      <c r="E461" t="s">
        <v>3435</v>
      </c>
      <c r="F461" s="20">
        <v>1</v>
      </c>
      <c r="H461" t="s">
        <v>3440</v>
      </c>
      <c r="I461">
        <v>1</v>
      </c>
      <c r="K461" t="s">
        <v>40</v>
      </c>
      <c r="M461" t="str">
        <f>"15571912"</f>
        <v>15571912</v>
      </c>
      <c r="N461" s="2" t="str">
        <f>"20110601"</f>
        <v>20110601</v>
      </c>
      <c r="O461">
        <v>13</v>
      </c>
      <c r="P461">
        <v>3</v>
      </c>
      <c r="Q461">
        <v>555</v>
      </c>
      <c r="R461">
        <v>13</v>
      </c>
      <c r="S461" t="s">
        <v>3437</v>
      </c>
      <c r="T461" t="s">
        <v>3438</v>
      </c>
      <c r="U461" t="s">
        <v>42</v>
      </c>
      <c r="V461" t="s">
        <v>3439</v>
      </c>
      <c r="X461" t="s">
        <v>3441</v>
      </c>
      <c r="Y461" t="b">
        <f t="shared" si="7"/>
        <v>0</v>
      </c>
    </row>
    <row r="462" spans="1:25" hidden="1">
      <c r="A462" s="11" t="s">
        <v>9939</v>
      </c>
      <c r="B462" t="s">
        <v>16</v>
      </c>
      <c r="C462" s="2" t="s">
        <v>8334</v>
      </c>
      <c r="D462" t="s">
        <v>3443</v>
      </c>
      <c r="E462" t="s">
        <v>3442</v>
      </c>
      <c r="H462" t="s">
        <v>3447</v>
      </c>
      <c r="K462" t="s">
        <v>84</v>
      </c>
      <c r="M462" t="str">
        <f>"13607863"</f>
        <v>13607863</v>
      </c>
      <c r="N462" s="2" t="str">
        <f>"20140701"</f>
        <v>20140701</v>
      </c>
      <c r="O462">
        <v>18</v>
      </c>
      <c r="P462">
        <v>5</v>
      </c>
      <c r="Q462">
        <v>619</v>
      </c>
      <c r="R462">
        <v>9</v>
      </c>
      <c r="S462" t="s">
        <v>3444</v>
      </c>
      <c r="T462" t="s">
        <v>3445</v>
      </c>
      <c r="U462" t="s">
        <v>87</v>
      </c>
      <c r="V462" t="s">
        <v>3446</v>
      </c>
      <c r="X462" t="s">
        <v>3448</v>
      </c>
      <c r="Y462" t="b">
        <f t="shared" si="7"/>
        <v>1</v>
      </c>
    </row>
    <row r="463" spans="1:25" hidden="1">
      <c r="A463" s="11" t="s">
        <v>9939</v>
      </c>
      <c r="B463" t="s">
        <v>16</v>
      </c>
      <c r="C463" s="2" t="s">
        <v>8347</v>
      </c>
      <c r="D463" t="s">
        <v>3450</v>
      </c>
      <c r="E463" t="s">
        <v>3449</v>
      </c>
      <c r="F463" s="20">
        <v>0</v>
      </c>
      <c r="G463" s="20" t="s">
        <v>9178</v>
      </c>
      <c r="H463" t="s">
        <v>3454</v>
      </c>
      <c r="K463" t="s">
        <v>970</v>
      </c>
      <c r="M463" t="str">
        <f>"10999809"</f>
        <v>10999809</v>
      </c>
      <c r="N463" s="2" t="str">
        <f>"20080401"</f>
        <v>20080401</v>
      </c>
      <c r="O463">
        <v>14</v>
      </c>
      <c r="P463">
        <v>2</v>
      </c>
      <c r="Q463">
        <v>155</v>
      </c>
      <c r="R463">
        <v>8</v>
      </c>
      <c r="S463" t="s">
        <v>3451</v>
      </c>
      <c r="T463" t="s">
        <v>3452</v>
      </c>
      <c r="U463" t="s">
        <v>183</v>
      </c>
      <c r="V463" t="s">
        <v>3453</v>
      </c>
      <c r="X463" t="s">
        <v>3455</v>
      </c>
      <c r="Y463" t="b">
        <f t="shared" si="7"/>
        <v>0</v>
      </c>
    </row>
    <row r="464" spans="1:25">
      <c r="A464" s="11" t="s">
        <v>9939</v>
      </c>
      <c r="B464" t="s">
        <v>16</v>
      </c>
      <c r="C464" s="2" t="s">
        <v>8349</v>
      </c>
      <c r="D464" t="s">
        <v>3457</v>
      </c>
      <c r="E464" t="s">
        <v>3456</v>
      </c>
      <c r="F464" s="20">
        <v>1</v>
      </c>
      <c r="H464" t="s">
        <v>3461</v>
      </c>
      <c r="I464">
        <v>1</v>
      </c>
      <c r="K464" t="s">
        <v>2163</v>
      </c>
      <c r="M464" t="str">
        <f>"00223999"</f>
        <v>00223999</v>
      </c>
      <c r="N464" s="2" t="str">
        <f>"20190701"</f>
        <v>20190701</v>
      </c>
      <c r="O464">
        <v>122</v>
      </c>
      <c r="Q464">
        <v>88</v>
      </c>
      <c r="R464">
        <v>6</v>
      </c>
      <c r="S464" t="s">
        <v>3458</v>
      </c>
      <c r="T464" t="s">
        <v>3459</v>
      </c>
      <c r="U464" t="s">
        <v>34</v>
      </c>
      <c r="V464" t="s">
        <v>3460</v>
      </c>
      <c r="X464" t="s">
        <v>3462</v>
      </c>
      <c r="Y464" t="b">
        <f t="shared" si="7"/>
        <v>0</v>
      </c>
    </row>
    <row r="465" spans="1:25" hidden="1">
      <c r="A465" s="11" t="s">
        <v>9939</v>
      </c>
      <c r="B465" t="s">
        <v>16</v>
      </c>
      <c r="C465" s="2" t="s">
        <v>8339</v>
      </c>
      <c r="D465" t="s">
        <v>3464</v>
      </c>
      <c r="E465" t="s">
        <v>3463</v>
      </c>
      <c r="H465" t="s">
        <v>3468</v>
      </c>
      <c r="K465" t="s">
        <v>2613</v>
      </c>
      <c r="M465" t="str">
        <f>"10492089"</f>
        <v>10492089</v>
      </c>
      <c r="N465" s="2" t="str">
        <f>"20150501"</f>
        <v>20150501</v>
      </c>
      <c r="O465">
        <v>26</v>
      </c>
      <c r="P465">
        <v>2</v>
      </c>
      <c r="Q465">
        <v>488</v>
      </c>
      <c r="R465">
        <v>17</v>
      </c>
      <c r="S465" t="s">
        <v>3465</v>
      </c>
      <c r="T465" t="s">
        <v>3466</v>
      </c>
      <c r="U465" t="s">
        <v>2615</v>
      </c>
      <c r="V465" t="s">
        <v>3467</v>
      </c>
      <c r="X465" t="s">
        <v>3469</v>
      </c>
      <c r="Y465" t="b">
        <f t="shared" si="7"/>
        <v>1</v>
      </c>
    </row>
    <row r="466" spans="1:25">
      <c r="A466" s="11" t="s">
        <v>9939</v>
      </c>
      <c r="B466" t="s">
        <v>16</v>
      </c>
      <c r="C466" s="2" t="s">
        <v>8340</v>
      </c>
      <c r="D466" t="s">
        <v>3471</v>
      </c>
      <c r="E466" t="s">
        <v>3470</v>
      </c>
      <c r="F466" s="20">
        <v>1</v>
      </c>
      <c r="H466" t="s">
        <v>3475</v>
      </c>
      <c r="I466">
        <v>1</v>
      </c>
      <c r="K466" t="s">
        <v>551</v>
      </c>
      <c r="M466" t="str">
        <f>"16641078"</f>
        <v>16641078</v>
      </c>
      <c r="N466" s="2" t="str">
        <f>"20180803"</f>
        <v>20180803</v>
      </c>
      <c r="O466">
        <v>9</v>
      </c>
      <c r="S466" t="s">
        <v>3472</v>
      </c>
      <c r="T466" t="s">
        <v>3473</v>
      </c>
      <c r="U466" t="s">
        <v>554</v>
      </c>
      <c r="V466" t="s">
        <v>3474</v>
      </c>
      <c r="X466" t="s">
        <v>3476</v>
      </c>
      <c r="Y466" t="b">
        <f t="shared" si="7"/>
        <v>0</v>
      </c>
    </row>
    <row r="467" spans="1:25">
      <c r="A467" s="11" t="s">
        <v>9939</v>
      </c>
      <c r="B467" t="s">
        <v>16</v>
      </c>
      <c r="C467" s="2" t="s">
        <v>8337</v>
      </c>
      <c r="D467" t="s">
        <v>3478</v>
      </c>
      <c r="E467" t="s">
        <v>3477</v>
      </c>
      <c r="F467" s="20">
        <v>1</v>
      </c>
      <c r="H467" t="s">
        <v>3482</v>
      </c>
      <c r="I467">
        <v>1</v>
      </c>
      <c r="K467" t="s">
        <v>132</v>
      </c>
      <c r="M467" t="str">
        <f>"01471767"</f>
        <v>01471767</v>
      </c>
      <c r="N467" s="2" t="str">
        <f>"20130101"</f>
        <v>20130101</v>
      </c>
      <c r="O467">
        <v>37</v>
      </c>
      <c r="P467">
        <v>1</v>
      </c>
      <c r="Q467">
        <v>11</v>
      </c>
      <c r="R467">
        <v>17</v>
      </c>
      <c r="S467" t="s">
        <v>3479</v>
      </c>
      <c r="T467" t="s">
        <v>3480</v>
      </c>
      <c r="U467" t="s">
        <v>34</v>
      </c>
      <c r="V467" t="s">
        <v>3481</v>
      </c>
      <c r="X467" t="s">
        <v>3483</v>
      </c>
      <c r="Y467" t="b">
        <f t="shared" si="7"/>
        <v>0</v>
      </c>
    </row>
    <row r="468" spans="1:25">
      <c r="A468" s="11" t="s">
        <v>9939</v>
      </c>
      <c r="B468" t="s">
        <v>69</v>
      </c>
      <c r="C468" s="2" t="s">
        <v>8338</v>
      </c>
      <c r="D468" t="s">
        <v>3485</v>
      </c>
      <c r="E468" t="s">
        <v>3484</v>
      </c>
      <c r="F468" s="20">
        <v>1</v>
      </c>
      <c r="H468" t="s">
        <v>3489</v>
      </c>
      <c r="I468">
        <v>1</v>
      </c>
      <c r="K468" t="s">
        <v>101</v>
      </c>
      <c r="M468" t="str">
        <f>"04194217"</f>
        <v>04194217</v>
      </c>
      <c r="N468" s="2" t="str">
        <f>"20060101"</f>
        <v>20060101</v>
      </c>
      <c r="O468">
        <v>67</v>
      </c>
      <c r="P468" t="s">
        <v>3486</v>
      </c>
      <c r="Q468">
        <v>2277</v>
      </c>
      <c r="R468">
        <v>1</v>
      </c>
      <c r="S468" t="s">
        <v>3487</v>
      </c>
      <c r="U468" t="s">
        <v>68</v>
      </c>
      <c r="V468" t="s">
        <v>3488</v>
      </c>
      <c r="X468" t="s">
        <v>3490</v>
      </c>
      <c r="Y468" t="b">
        <f t="shared" si="7"/>
        <v>0</v>
      </c>
    </row>
    <row r="469" spans="1:25" hidden="1">
      <c r="A469" s="11" t="s">
        <v>9939</v>
      </c>
      <c r="B469" t="s">
        <v>69</v>
      </c>
      <c r="C469" s="2" t="s">
        <v>8344</v>
      </c>
      <c r="D469" t="s">
        <v>3492</v>
      </c>
      <c r="E469" t="s">
        <v>3491</v>
      </c>
      <c r="H469" t="s">
        <v>3496</v>
      </c>
      <c r="K469" t="s">
        <v>65</v>
      </c>
      <c r="L469" t="str">
        <f>"9780494605691"</f>
        <v>9780494605691</v>
      </c>
      <c r="M469" t="str">
        <f>"04194209"</f>
        <v>04194209</v>
      </c>
      <c r="N469" s="2" t="str">
        <f>"20100101"</f>
        <v>20100101</v>
      </c>
      <c r="O469">
        <v>71</v>
      </c>
      <c r="P469" t="s">
        <v>3493</v>
      </c>
      <c r="Q469">
        <v>1517</v>
      </c>
      <c r="R469">
        <v>1</v>
      </c>
      <c r="S469" t="s">
        <v>3494</v>
      </c>
      <c r="U469" t="s">
        <v>68</v>
      </c>
      <c r="V469" t="s">
        <v>3495</v>
      </c>
      <c r="X469" t="s">
        <v>3497</v>
      </c>
      <c r="Y469" t="b">
        <f t="shared" si="7"/>
        <v>1</v>
      </c>
    </row>
    <row r="470" spans="1:25">
      <c r="A470" s="11" t="s">
        <v>9939</v>
      </c>
      <c r="B470" t="s">
        <v>69</v>
      </c>
      <c r="C470" s="2" t="s">
        <v>8346</v>
      </c>
      <c r="D470" t="s">
        <v>3499</v>
      </c>
      <c r="E470" t="s">
        <v>3498</v>
      </c>
      <c r="F470" s="20">
        <v>1</v>
      </c>
      <c r="H470" t="s">
        <v>3503</v>
      </c>
      <c r="I470">
        <v>1</v>
      </c>
      <c r="K470" t="s">
        <v>65</v>
      </c>
      <c r="L470" t="str">
        <f>"9781124055176"</f>
        <v>9781124055176</v>
      </c>
      <c r="M470" t="str">
        <f>"04194209"</f>
        <v>04194209</v>
      </c>
      <c r="N470" s="2" t="str">
        <f>"20110101"</f>
        <v>20110101</v>
      </c>
      <c r="O470">
        <v>71</v>
      </c>
      <c r="P470" t="s">
        <v>3500</v>
      </c>
      <c r="Q470">
        <v>2645</v>
      </c>
      <c r="R470">
        <v>1</v>
      </c>
      <c r="S470" t="s">
        <v>3501</v>
      </c>
      <c r="U470" t="s">
        <v>68</v>
      </c>
      <c r="V470" t="s">
        <v>3502</v>
      </c>
      <c r="X470" t="s">
        <v>3504</v>
      </c>
      <c r="Y470" t="b">
        <f t="shared" si="7"/>
        <v>0</v>
      </c>
    </row>
    <row r="471" spans="1:25">
      <c r="A471" s="11" t="s">
        <v>9939</v>
      </c>
      <c r="B471" t="s">
        <v>16</v>
      </c>
      <c r="C471" s="2" t="s">
        <v>8334</v>
      </c>
      <c r="D471" t="s">
        <v>3499</v>
      </c>
      <c r="E471" t="s">
        <v>3505</v>
      </c>
      <c r="F471" s="20">
        <v>1</v>
      </c>
      <c r="H471" t="s">
        <v>3509</v>
      </c>
      <c r="I471">
        <v>1</v>
      </c>
      <c r="K471" t="s">
        <v>576</v>
      </c>
      <c r="M471" t="str">
        <f>"10911359"</f>
        <v>10911359</v>
      </c>
      <c r="N471" s="2" t="str">
        <f>"20140401"</f>
        <v>20140401</v>
      </c>
      <c r="O471">
        <v>24</v>
      </c>
      <c r="P471">
        <v>3</v>
      </c>
      <c r="Q471">
        <v>301</v>
      </c>
      <c r="R471">
        <v>15</v>
      </c>
      <c r="S471" t="s">
        <v>3506</v>
      </c>
      <c r="T471" t="s">
        <v>3507</v>
      </c>
      <c r="U471" t="s">
        <v>87</v>
      </c>
      <c r="V471" t="s">
        <v>3508</v>
      </c>
      <c r="X471" t="s">
        <v>3510</v>
      </c>
      <c r="Y471" t="b">
        <f t="shared" si="7"/>
        <v>0</v>
      </c>
    </row>
    <row r="472" spans="1:25" hidden="1">
      <c r="A472" s="11" t="s">
        <v>9939</v>
      </c>
      <c r="B472" t="s">
        <v>16</v>
      </c>
      <c r="C472" s="2" t="s">
        <v>8337</v>
      </c>
      <c r="D472" t="s">
        <v>3512</v>
      </c>
      <c r="E472" t="s">
        <v>3511</v>
      </c>
      <c r="F472" s="20">
        <v>0</v>
      </c>
      <c r="G472" s="20" t="s">
        <v>9178</v>
      </c>
      <c r="H472" t="s">
        <v>3516</v>
      </c>
      <c r="K472" t="s">
        <v>40</v>
      </c>
      <c r="M472" t="str">
        <f>"15571912"</f>
        <v>15571912</v>
      </c>
      <c r="N472" s="2" t="str">
        <f>"20130401"</f>
        <v>20130401</v>
      </c>
      <c r="O472">
        <v>15</v>
      </c>
      <c r="P472">
        <v>2</v>
      </c>
      <c r="Q472">
        <v>372</v>
      </c>
      <c r="R472">
        <v>9</v>
      </c>
      <c r="S472" t="s">
        <v>3513</v>
      </c>
      <c r="T472" t="s">
        <v>3514</v>
      </c>
      <c r="U472" t="s">
        <v>42</v>
      </c>
      <c r="V472" t="s">
        <v>3515</v>
      </c>
      <c r="X472" t="s">
        <v>3517</v>
      </c>
      <c r="Y472" t="b">
        <f t="shared" si="7"/>
        <v>0</v>
      </c>
    </row>
    <row r="473" spans="1:25">
      <c r="A473" s="11" t="s">
        <v>9939</v>
      </c>
      <c r="B473" t="s">
        <v>16</v>
      </c>
      <c r="C473" s="2" t="s">
        <v>8339</v>
      </c>
      <c r="D473" t="s">
        <v>3519</v>
      </c>
      <c r="E473" t="s">
        <v>3518</v>
      </c>
      <c r="F473" s="20">
        <v>1</v>
      </c>
      <c r="H473" t="s">
        <v>3523</v>
      </c>
      <c r="I473">
        <v>1</v>
      </c>
      <c r="K473" t="s">
        <v>40</v>
      </c>
      <c r="M473" t="str">
        <f>"15571912"</f>
        <v>15571912</v>
      </c>
      <c r="N473" s="2" t="str">
        <f>"20150401"</f>
        <v>20150401</v>
      </c>
      <c r="O473">
        <v>17</v>
      </c>
      <c r="P473">
        <v>2</v>
      </c>
      <c r="Q473">
        <v>349</v>
      </c>
      <c r="R473">
        <v>9</v>
      </c>
      <c r="S473" t="s">
        <v>3520</v>
      </c>
      <c r="T473" t="s">
        <v>3521</v>
      </c>
      <c r="U473" t="s">
        <v>42</v>
      </c>
      <c r="V473" t="s">
        <v>3522</v>
      </c>
      <c r="X473" t="s">
        <v>3524</v>
      </c>
      <c r="Y473" t="b">
        <f t="shared" si="7"/>
        <v>0</v>
      </c>
    </row>
    <row r="474" spans="1:25" hidden="1">
      <c r="A474" s="11" t="s">
        <v>9939</v>
      </c>
      <c r="B474" t="s">
        <v>16</v>
      </c>
      <c r="C474" s="2" t="s">
        <v>8337</v>
      </c>
      <c r="D474" t="s">
        <v>3526</v>
      </c>
      <c r="E474" t="s">
        <v>3525</v>
      </c>
      <c r="F474" s="20">
        <v>0</v>
      </c>
      <c r="G474" s="20" t="s">
        <v>9178</v>
      </c>
      <c r="H474" t="s">
        <v>3531</v>
      </c>
      <c r="K474" t="s">
        <v>3527</v>
      </c>
      <c r="M474" t="str">
        <f>"14994046"</f>
        <v>14994046</v>
      </c>
      <c r="N474" s="2" t="str">
        <f>"20130101"</f>
        <v>20130101</v>
      </c>
      <c r="O474">
        <v>45</v>
      </c>
      <c r="P474">
        <v>1</v>
      </c>
      <c r="Q474">
        <v>47</v>
      </c>
      <c r="R474">
        <v>7</v>
      </c>
      <c r="S474" t="s">
        <v>3528</v>
      </c>
      <c r="T474" t="s">
        <v>3529</v>
      </c>
      <c r="U474" t="s">
        <v>34</v>
      </c>
      <c r="V474" t="s">
        <v>3530</v>
      </c>
      <c r="X474" t="s">
        <v>3532</v>
      </c>
      <c r="Y474" t="b">
        <f t="shared" si="7"/>
        <v>0</v>
      </c>
    </row>
    <row r="475" spans="1:25" hidden="1">
      <c r="A475" s="11" t="s">
        <v>9939</v>
      </c>
      <c r="B475" t="s">
        <v>16</v>
      </c>
      <c r="C475" s="2" t="s">
        <v>8338</v>
      </c>
      <c r="D475" t="s">
        <v>3534</v>
      </c>
      <c r="E475" t="s">
        <v>3533</v>
      </c>
      <c r="F475" s="20">
        <v>0</v>
      </c>
      <c r="G475" s="20" t="s">
        <v>9178</v>
      </c>
      <c r="H475" t="s">
        <v>3538</v>
      </c>
      <c r="K475" t="s">
        <v>40</v>
      </c>
      <c r="M475" t="str">
        <f>"15571912"</f>
        <v>15571912</v>
      </c>
      <c r="N475" s="2" t="str">
        <f>"20061001"</f>
        <v>20061001</v>
      </c>
      <c r="O475">
        <v>8</v>
      </c>
      <c r="P475">
        <v>4</v>
      </c>
      <c r="Q475">
        <v>369</v>
      </c>
      <c r="R475">
        <v>7</v>
      </c>
      <c r="S475" t="s">
        <v>3535</v>
      </c>
      <c r="T475" t="s">
        <v>3536</v>
      </c>
      <c r="U475" t="s">
        <v>42</v>
      </c>
      <c r="V475" t="s">
        <v>3537</v>
      </c>
      <c r="X475" t="s">
        <v>3539</v>
      </c>
      <c r="Y475" t="b">
        <f t="shared" si="7"/>
        <v>0</v>
      </c>
    </row>
    <row r="476" spans="1:25">
      <c r="A476" s="11" t="s">
        <v>9939</v>
      </c>
      <c r="B476" t="s">
        <v>69</v>
      </c>
      <c r="C476" s="2" t="s">
        <v>8339</v>
      </c>
      <c r="D476" t="s">
        <v>3541</v>
      </c>
      <c r="E476" t="s">
        <v>3540</v>
      </c>
      <c r="F476" s="20">
        <v>1</v>
      </c>
      <c r="H476" t="s">
        <v>3544</v>
      </c>
      <c r="I476">
        <v>1</v>
      </c>
      <c r="K476" t="s">
        <v>65</v>
      </c>
      <c r="L476" t="str">
        <f>"9781321268324"</f>
        <v>9781321268324</v>
      </c>
      <c r="M476" t="str">
        <f>"04194209"</f>
        <v>04194209</v>
      </c>
      <c r="N476" s="2" t="str">
        <f>"20150101"</f>
        <v>20150101</v>
      </c>
      <c r="O476">
        <v>76</v>
      </c>
      <c r="P476" t="s">
        <v>447</v>
      </c>
      <c r="S476" t="s">
        <v>3542</v>
      </c>
      <c r="U476" t="s">
        <v>68</v>
      </c>
      <c r="V476" t="s">
        <v>3543</v>
      </c>
      <c r="X476" t="s">
        <v>3545</v>
      </c>
      <c r="Y476" t="b">
        <f t="shared" si="7"/>
        <v>0</v>
      </c>
    </row>
    <row r="477" spans="1:25" hidden="1">
      <c r="A477" s="11" t="s">
        <v>9939</v>
      </c>
      <c r="B477" t="s">
        <v>16</v>
      </c>
      <c r="C477" s="2" t="s">
        <v>8348</v>
      </c>
      <c r="D477" t="s">
        <v>3547</v>
      </c>
      <c r="E477" t="s">
        <v>3546</v>
      </c>
      <c r="F477" s="20">
        <v>0</v>
      </c>
      <c r="G477" s="20" t="s">
        <v>9178</v>
      </c>
      <c r="H477" t="s">
        <v>3551</v>
      </c>
      <c r="K477" t="s">
        <v>1065</v>
      </c>
      <c r="M477" t="str">
        <f>"08862605"</f>
        <v>08862605</v>
      </c>
      <c r="N477" s="2" t="str">
        <f>"20050801"</f>
        <v>20050801</v>
      </c>
      <c r="O477">
        <v>20</v>
      </c>
      <c r="P477">
        <v>8</v>
      </c>
      <c r="Q477">
        <v>922</v>
      </c>
      <c r="R477">
        <v>19</v>
      </c>
      <c r="S477" t="s">
        <v>3548</v>
      </c>
      <c r="T477" t="s">
        <v>3549</v>
      </c>
      <c r="U477" t="s">
        <v>15</v>
      </c>
      <c r="V477" t="s">
        <v>3550</v>
      </c>
      <c r="X477" t="s">
        <v>3552</v>
      </c>
      <c r="Y477" t="b">
        <f t="shared" si="7"/>
        <v>0</v>
      </c>
    </row>
    <row r="478" spans="1:25" hidden="1">
      <c r="A478" s="11" t="s">
        <v>9939</v>
      </c>
      <c r="B478" t="s">
        <v>16</v>
      </c>
      <c r="C478" s="2" t="s">
        <v>8336</v>
      </c>
      <c r="D478" t="s">
        <v>3554</v>
      </c>
      <c r="E478" t="s">
        <v>3553</v>
      </c>
      <c r="F478" s="20">
        <v>0</v>
      </c>
      <c r="G478" s="20" t="s">
        <v>9178</v>
      </c>
      <c r="H478" t="s">
        <v>3558</v>
      </c>
      <c r="K478" t="s">
        <v>1355</v>
      </c>
      <c r="M478" t="str">
        <f>"15332640"</f>
        <v>15332640</v>
      </c>
      <c r="N478" s="2" t="str">
        <f>"20070101"</f>
        <v>20070101</v>
      </c>
      <c r="O478">
        <v>6</v>
      </c>
      <c r="P478">
        <v>1</v>
      </c>
      <c r="Q478">
        <v>131</v>
      </c>
      <c r="R478">
        <v>8</v>
      </c>
      <c r="S478" t="s">
        <v>3555</v>
      </c>
      <c r="T478" t="s">
        <v>3556</v>
      </c>
      <c r="U478" t="s">
        <v>420</v>
      </c>
      <c r="V478" t="s">
        <v>3557</v>
      </c>
      <c r="X478" t="s">
        <v>3559</v>
      </c>
      <c r="Y478" t="b">
        <f t="shared" si="7"/>
        <v>0</v>
      </c>
    </row>
    <row r="479" spans="1:25" hidden="1">
      <c r="A479" s="11" t="s">
        <v>9939</v>
      </c>
      <c r="B479" t="s">
        <v>69</v>
      </c>
      <c r="C479" s="2" t="s">
        <v>8339</v>
      </c>
      <c r="D479" t="s">
        <v>3561</v>
      </c>
      <c r="E479" t="s">
        <v>3560</v>
      </c>
      <c r="F479" s="20">
        <v>0</v>
      </c>
      <c r="G479" s="20" t="s">
        <v>9178</v>
      </c>
      <c r="H479" t="s">
        <v>3564</v>
      </c>
      <c r="K479" t="s">
        <v>101</v>
      </c>
      <c r="L479" t="str">
        <f>"9781303918216"</f>
        <v>9781303918216</v>
      </c>
      <c r="M479" t="str">
        <f>"04194217"</f>
        <v>04194217</v>
      </c>
      <c r="N479" s="2" t="str">
        <f>"20150101"</f>
        <v>20150101</v>
      </c>
      <c r="O479">
        <v>75</v>
      </c>
      <c r="P479" t="s">
        <v>3294</v>
      </c>
      <c r="S479" t="s">
        <v>3562</v>
      </c>
      <c r="U479" t="s">
        <v>68</v>
      </c>
      <c r="V479" t="s">
        <v>3563</v>
      </c>
      <c r="X479" t="s">
        <v>3565</v>
      </c>
      <c r="Y479" t="b">
        <f t="shared" si="7"/>
        <v>0</v>
      </c>
    </row>
    <row r="480" spans="1:25" hidden="1">
      <c r="A480" s="11" t="s">
        <v>9939</v>
      </c>
      <c r="B480" t="s">
        <v>16</v>
      </c>
      <c r="C480" s="2" t="s">
        <v>8340</v>
      </c>
      <c r="D480" t="s">
        <v>3567</v>
      </c>
      <c r="E480" t="s">
        <v>3566</v>
      </c>
      <c r="F480" s="20">
        <v>0</v>
      </c>
      <c r="G480" s="20" t="s">
        <v>9178</v>
      </c>
      <c r="H480" t="s">
        <v>3571</v>
      </c>
      <c r="K480" t="s">
        <v>140</v>
      </c>
      <c r="M480" t="str">
        <f>"02779536"</f>
        <v>02779536</v>
      </c>
      <c r="N480" s="2" t="str">
        <f>"20180901"</f>
        <v>20180901</v>
      </c>
      <c r="O480">
        <v>213</v>
      </c>
      <c r="Q480">
        <v>1</v>
      </c>
      <c r="R480">
        <v>11</v>
      </c>
      <c r="S480" t="s">
        <v>3568</v>
      </c>
      <c r="T480" t="s">
        <v>3569</v>
      </c>
      <c r="U480" t="s">
        <v>34</v>
      </c>
      <c r="V480" t="s">
        <v>3570</v>
      </c>
      <c r="X480" t="s">
        <v>3572</v>
      </c>
      <c r="Y480" t="b">
        <f t="shared" si="7"/>
        <v>0</v>
      </c>
    </row>
    <row r="481" spans="1:25" hidden="1">
      <c r="A481" s="11" t="s">
        <v>9939</v>
      </c>
      <c r="B481" t="s">
        <v>69</v>
      </c>
      <c r="C481" s="2" t="s">
        <v>8346</v>
      </c>
      <c r="D481" t="s">
        <v>3574</v>
      </c>
      <c r="E481" t="s">
        <v>3573</v>
      </c>
      <c r="F481" s="20">
        <v>0</v>
      </c>
      <c r="G481" s="20" t="s">
        <v>9249</v>
      </c>
      <c r="H481" t="s">
        <v>3578</v>
      </c>
      <c r="K481" t="s">
        <v>65</v>
      </c>
      <c r="L481" t="str">
        <f>"9781124352824"</f>
        <v>9781124352824</v>
      </c>
      <c r="M481" t="str">
        <f>"04194209"</f>
        <v>04194209</v>
      </c>
      <c r="N481" s="2" t="str">
        <f>"20110101"</f>
        <v>20110101</v>
      </c>
      <c r="O481">
        <v>72</v>
      </c>
      <c r="P481" t="s">
        <v>3575</v>
      </c>
      <c r="Q481">
        <v>379</v>
      </c>
      <c r="R481">
        <v>1</v>
      </c>
      <c r="S481" t="s">
        <v>3576</v>
      </c>
      <c r="U481" t="s">
        <v>68</v>
      </c>
      <c r="V481" t="s">
        <v>3577</v>
      </c>
      <c r="X481" t="s">
        <v>3579</v>
      </c>
      <c r="Y481" t="b">
        <f t="shared" si="7"/>
        <v>0</v>
      </c>
    </row>
    <row r="482" spans="1:25">
      <c r="A482" s="11" t="s">
        <v>9939</v>
      </c>
      <c r="B482" t="s">
        <v>69</v>
      </c>
      <c r="C482" s="2" t="s">
        <v>8347</v>
      </c>
      <c r="D482" t="s">
        <v>3581</v>
      </c>
      <c r="E482" t="s">
        <v>3580</v>
      </c>
      <c r="F482" s="20">
        <v>1</v>
      </c>
      <c r="H482" t="s">
        <v>3584</v>
      </c>
      <c r="I482">
        <v>1</v>
      </c>
      <c r="K482" t="s">
        <v>101</v>
      </c>
      <c r="M482" t="str">
        <f>"04194217"</f>
        <v>04194217</v>
      </c>
      <c r="N482" s="2" t="str">
        <f>"20080101"</f>
        <v>20080101</v>
      </c>
      <c r="O482">
        <v>68</v>
      </c>
      <c r="P482" t="s">
        <v>2857</v>
      </c>
      <c r="Q482">
        <v>5150</v>
      </c>
      <c r="R482">
        <v>1</v>
      </c>
      <c r="S482" t="s">
        <v>3582</v>
      </c>
      <c r="U482" t="s">
        <v>68</v>
      </c>
      <c r="V482" t="s">
        <v>3583</v>
      </c>
      <c r="X482" t="s">
        <v>3585</v>
      </c>
      <c r="Y482" t="b">
        <f t="shared" si="7"/>
        <v>0</v>
      </c>
    </row>
    <row r="483" spans="1:25">
      <c r="A483" s="11" t="s">
        <v>9939</v>
      </c>
      <c r="B483" t="s">
        <v>16</v>
      </c>
      <c r="C483" s="2" t="s">
        <v>8353</v>
      </c>
      <c r="D483" t="s">
        <v>3587</v>
      </c>
      <c r="E483" t="s">
        <v>3586</v>
      </c>
      <c r="F483" s="20">
        <v>1</v>
      </c>
      <c r="H483" t="s">
        <v>3591</v>
      </c>
      <c r="I483">
        <v>0</v>
      </c>
      <c r="J483" t="s">
        <v>9237</v>
      </c>
      <c r="K483" t="s">
        <v>213</v>
      </c>
      <c r="M483" t="str">
        <f>"03788733"</f>
        <v>03788733</v>
      </c>
      <c r="N483" s="2" t="str">
        <f>"20160101"</f>
        <v>20160101</v>
      </c>
      <c r="O483">
        <v>44</v>
      </c>
      <c r="Q483">
        <v>130</v>
      </c>
      <c r="R483">
        <v>13</v>
      </c>
      <c r="S483" t="s">
        <v>3588</v>
      </c>
      <c r="T483" t="s">
        <v>3589</v>
      </c>
      <c r="U483" t="s">
        <v>34</v>
      </c>
      <c r="V483" t="s">
        <v>3590</v>
      </c>
      <c r="X483" t="s">
        <v>3592</v>
      </c>
      <c r="Y483" t="b">
        <f t="shared" si="7"/>
        <v>0</v>
      </c>
    </row>
    <row r="484" spans="1:25">
      <c r="A484" s="11" t="s">
        <v>9939</v>
      </c>
      <c r="B484" t="s">
        <v>16</v>
      </c>
      <c r="C484" s="2" t="s">
        <v>8340</v>
      </c>
      <c r="D484" t="s">
        <v>3594</v>
      </c>
      <c r="E484" t="s">
        <v>3593</v>
      </c>
      <c r="F484" s="20">
        <v>1</v>
      </c>
      <c r="H484" t="s">
        <v>3598</v>
      </c>
      <c r="I484">
        <v>0</v>
      </c>
      <c r="J484" t="s">
        <v>9249</v>
      </c>
      <c r="K484" t="s">
        <v>810</v>
      </c>
      <c r="M484" t="str">
        <f>"00462772"</f>
        <v>00462772</v>
      </c>
      <c r="N484" s="2" t="str">
        <f>"20180201"</f>
        <v>20180201</v>
      </c>
      <c r="O484">
        <v>48</v>
      </c>
      <c r="P484">
        <v>1</v>
      </c>
      <c r="Q484">
        <v>17</v>
      </c>
      <c r="R484">
        <v>16</v>
      </c>
      <c r="S484" t="s">
        <v>3595</v>
      </c>
      <c r="T484" t="s">
        <v>3596</v>
      </c>
      <c r="U484" t="s">
        <v>224</v>
      </c>
      <c r="V484" t="s">
        <v>3597</v>
      </c>
      <c r="X484" t="s">
        <v>3599</v>
      </c>
      <c r="Y484" t="b">
        <f t="shared" si="7"/>
        <v>0</v>
      </c>
    </row>
    <row r="485" spans="1:25" hidden="1">
      <c r="A485" s="11" t="s">
        <v>9939</v>
      </c>
      <c r="B485" t="s">
        <v>16</v>
      </c>
      <c r="C485" s="2" t="s">
        <v>8347</v>
      </c>
      <c r="D485" t="s">
        <v>3601</v>
      </c>
      <c r="E485" t="s">
        <v>3600</v>
      </c>
      <c r="H485" t="s">
        <v>3605</v>
      </c>
      <c r="K485" t="s">
        <v>132</v>
      </c>
      <c r="M485" t="str">
        <f>"01471767"</f>
        <v>01471767</v>
      </c>
      <c r="N485" s="2" t="str">
        <f>"20080901"</f>
        <v>20080901</v>
      </c>
      <c r="O485">
        <v>32</v>
      </c>
      <c r="P485">
        <v>5</v>
      </c>
      <c r="Q485">
        <v>427</v>
      </c>
      <c r="R485">
        <v>14</v>
      </c>
      <c r="S485" t="s">
        <v>3602</v>
      </c>
      <c r="T485" t="s">
        <v>3603</v>
      </c>
      <c r="U485" t="s">
        <v>34</v>
      </c>
      <c r="V485" t="s">
        <v>3604</v>
      </c>
      <c r="X485" t="s">
        <v>3606</v>
      </c>
      <c r="Y485" t="b">
        <f t="shared" si="7"/>
        <v>1</v>
      </c>
    </row>
    <row r="486" spans="1:25" hidden="1">
      <c r="A486" s="11" t="s">
        <v>9939</v>
      </c>
      <c r="B486" t="s">
        <v>16</v>
      </c>
      <c r="C486" s="2" t="s">
        <v>8353</v>
      </c>
      <c r="D486" t="s">
        <v>3608</v>
      </c>
      <c r="E486" t="s">
        <v>3607</v>
      </c>
      <c r="H486" t="s">
        <v>3613</v>
      </c>
      <c r="K486" t="s">
        <v>3609</v>
      </c>
      <c r="M486" t="str">
        <f>"00223980"</f>
        <v>00223980</v>
      </c>
      <c r="N486" s="2" t="str">
        <f>"20160801"</f>
        <v>20160801</v>
      </c>
      <c r="O486">
        <v>150</v>
      </c>
      <c r="P486">
        <v>6</v>
      </c>
      <c r="Q486">
        <v>793</v>
      </c>
      <c r="R486">
        <v>16</v>
      </c>
      <c r="S486" t="s">
        <v>3610</v>
      </c>
      <c r="T486" t="s">
        <v>3611</v>
      </c>
      <c r="U486" t="s">
        <v>87</v>
      </c>
      <c r="V486" t="s">
        <v>3612</v>
      </c>
      <c r="X486" t="s">
        <v>3614</v>
      </c>
      <c r="Y486" t="b">
        <f t="shared" si="7"/>
        <v>1</v>
      </c>
    </row>
    <row r="487" spans="1:25" hidden="1">
      <c r="A487" s="11" t="s">
        <v>9939</v>
      </c>
      <c r="B487" t="s">
        <v>16</v>
      </c>
      <c r="C487" s="2" t="s">
        <v>8348</v>
      </c>
      <c r="D487" t="s">
        <v>3616</v>
      </c>
      <c r="E487" t="s">
        <v>3615</v>
      </c>
      <c r="F487" s="20">
        <v>0</v>
      </c>
      <c r="G487" s="20" t="s">
        <v>9178</v>
      </c>
      <c r="H487" t="s">
        <v>3620</v>
      </c>
      <c r="K487" t="s">
        <v>2180</v>
      </c>
      <c r="M487" t="str">
        <f>"09337954"</f>
        <v>09337954</v>
      </c>
      <c r="N487" s="2" t="str">
        <f>"20050101"</f>
        <v>20050101</v>
      </c>
      <c r="O487">
        <v>40</v>
      </c>
      <c r="P487">
        <v>1</v>
      </c>
      <c r="Q487">
        <v>78</v>
      </c>
      <c r="R487">
        <v>7</v>
      </c>
      <c r="S487" t="s">
        <v>3617</v>
      </c>
      <c r="T487" t="s">
        <v>3618</v>
      </c>
      <c r="U487" t="s">
        <v>42</v>
      </c>
      <c r="V487" t="s">
        <v>3619</v>
      </c>
      <c r="X487" t="s">
        <v>3621</v>
      </c>
      <c r="Y487" t="b">
        <f t="shared" si="7"/>
        <v>0</v>
      </c>
    </row>
    <row r="488" spans="1:25" hidden="1">
      <c r="A488" s="11" t="s">
        <v>9939</v>
      </c>
      <c r="B488" t="s">
        <v>16</v>
      </c>
      <c r="C488" s="2" t="s">
        <v>8342</v>
      </c>
      <c r="D488" t="s">
        <v>3623</v>
      </c>
      <c r="E488" t="s">
        <v>3622</v>
      </c>
      <c r="F488" s="20">
        <v>0</v>
      </c>
      <c r="G488" s="20" t="s">
        <v>9178</v>
      </c>
      <c r="H488" t="s">
        <v>3627</v>
      </c>
      <c r="K488" t="s">
        <v>1678</v>
      </c>
      <c r="M488" t="str">
        <f>"00221465"</f>
        <v>00221465</v>
      </c>
      <c r="N488" s="2" t="str">
        <f>"20120301"</f>
        <v>20120301</v>
      </c>
      <c r="O488">
        <v>53</v>
      </c>
      <c r="P488">
        <v>1</v>
      </c>
      <c r="Q488">
        <v>99</v>
      </c>
      <c r="R488">
        <v>25</v>
      </c>
      <c r="S488" t="s">
        <v>3624</v>
      </c>
      <c r="T488" t="s">
        <v>3625</v>
      </c>
      <c r="U488" t="s">
        <v>15</v>
      </c>
      <c r="V488" t="s">
        <v>3626</v>
      </c>
      <c r="X488" t="s">
        <v>3628</v>
      </c>
      <c r="Y488" t="b">
        <f t="shared" si="7"/>
        <v>0</v>
      </c>
    </row>
    <row r="489" spans="1:25">
      <c r="A489" s="11" t="s">
        <v>9939</v>
      </c>
      <c r="B489" t="s">
        <v>16</v>
      </c>
      <c r="C489" s="2" t="s">
        <v>8343</v>
      </c>
      <c r="D489" t="s">
        <v>3630</v>
      </c>
      <c r="E489" t="s">
        <v>3629</v>
      </c>
      <c r="F489" s="20">
        <v>1</v>
      </c>
      <c r="H489" t="s">
        <v>3634</v>
      </c>
      <c r="I489">
        <v>1</v>
      </c>
      <c r="J489" t="s">
        <v>9952</v>
      </c>
      <c r="K489" t="s">
        <v>40</v>
      </c>
      <c r="M489" t="str">
        <f>"15571912"</f>
        <v>15571912</v>
      </c>
      <c r="N489" s="2" t="str">
        <f>"20170601"</f>
        <v>20170601</v>
      </c>
      <c r="O489">
        <v>19</v>
      </c>
      <c r="P489">
        <v>3</v>
      </c>
      <c r="Q489">
        <v>623</v>
      </c>
      <c r="R489">
        <v>8</v>
      </c>
      <c r="S489" t="s">
        <v>3631</v>
      </c>
      <c r="T489" t="s">
        <v>3632</v>
      </c>
      <c r="U489" t="s">
        <v>42</v>
      </c>
      <c r="V489" t="s">
        <v>3633</v>
      </c>
      <c r="X489" t="s">
        <v>3635</v>
      </c>
      <c r="Y489" t="b">
        <f t="shared" si="7"/>
        <v>0</v>
      </c>
    </row>
    <row r="490" spans="1:25" hidden="1">
      <c r="A490" s="11" t="s">
        <v>9939</v>
      </c>
      <c r="B490" t="s">
        <v>16</v>
      </c>
      <c r="C490" s="2" t="s">
        <v>8339</v>
      </c>
      <c r="D490" t="s">
        <v>3637</v>
      </c>
      <c r="E490" t="s">
        <v>3636</v>
      </c>
      <c r="F490" s="20">
        <v>0</v>
      </c>
      <c r="G490" s="20" t="s">
        <v>9178</v>
      </c>
      <c r="H490" t="s">
        <v>3641</v>
      </c>
      <c r="K490" t="s">
        <v>339</v>
      </c>
      <c r="M490" t="str">
        <f>"01419870"</f>
        <v>01419870</v>
      </c>
      <c r="N490" s="2" t="str">
        <f>"20150401"</f>
        <v>20150401</v>
      </c>
      <c r="O490">
        <v>38</v>
      </c>
      <c r="P490">
        <v>5</v>
      </c>
      <c r="Q490">
        <v>681</v>
      </c>
      <c r="R490">
        <v>19</v>
      </c>
      <c r="S490" t="s">
        <v>3638</v>
      </c>
      <c r="T490" t="s">
        <v>3639</v>
      </c>
      <c r="U490" t="s">
        <v>87</v>
      </c>
      <c r="V490" t="s">
        <v>3640</v>
      </c>
      <c r="X490" t="s">
        <v>3642</v>
      </c>
      <c r="Y490" t="b">
        <f t="shared" si="7"/>
        <v>0</v>
      </c>
    </row>
    <row r="491" spans="1:25">
      <c r="A491" s="11" t="s">
        <v>9939</v>
      </c>
      <c r="B491" t="s">
        <v>16</v>
      </c>
      <c r="C491" s="2" t="s">
        <v>8341</v>
      </c>
      <c r="D491" t="s">
        <v>3644</v>
      </c>
      <c r="E491" t="s">
        <v>3643</v>
      </c>
      <c r="F491" s="20">
        <v>1</v>
      </c>
      <c r="H491" t="s">
        <v>3648</v>
      </c>
      <c r="I491">
        <v>0</v>
      </c>
      <c r="J491" t="s">
        <v>9245</v>
      </c>
      <c r="K491" t="s">
        <v>970</v>
      </c>
      <c r="M491" t="str">
        <f>"10999809"</f>
        <v>10999809</v>
      </c>
      <c r="N491" s="2" t="str">
        <f>"20090701"</f>
        <v>20090701</v>
      </c>
      <c r="O491">
        <v>15</v>
      </c>
      <c r="P491">
        <v>3</v>
      </c>
      <c r="Q491">
        <v>265</v>
      </c>
      <c r="R491">
        <v>10</v>
      </c>
      <c r="S491" t="s">
        <v>3645</v>
      </c>
      <c r="T491" t="s">
        <v>3646</v>
      </c>
      <c r="U491" t="s">
        <v>183</v>
      </c>
      <c r="V491" t="s">
        <v>3647</v>
      </c>
      <c r="X491" t="s">
        <v>3649</v>
      </c>
      <c r="Y491" t="b">
        <f t="shared" si="7"/>
        <v>0</v>
      </c>
    </row>
    <row r="492" spans="1:25" hidden="1">
      <c r="A492" s="11" t="s">
        <v>9939</v>
      </c>
      <c r="B492" t="s">
        <v>16</v>
      </c>
      <c r="C492" s="2" t="s">
        <v>8341</v>
      </c>
      <c r="D492" t="s">
        <v>3651</v>
      </c>
      <c r="E492" t="s">
        <v>3650</v>
      </c>
      <c r="H492" t="s">
        <v>3655</v>
      </c>
      <c r="K492" t="s">
        <v>1972</v>
      </c>
      <c r="M492" t="str">
        <f>"01939459"</f>
        <v>01939459</v>
      </c>
      <c r="N492" s="2" t="str">
        <f>"20090401"</f>
        <v>20090401</v>
      </c>
      <c r="O492">
        <v>31</v>
      </c>
      <c r="P492">
        <v>3</v>
      </c>
      <c r="Q492">
        <v>347</v>
      </c>
      <c r="R492">
        <v>17</v>
      </c>
      <c r="S492" t="s">
        <v>3652</v>
      </c>
      <c r="T492" t="s">
        <v>3653</v>
      </c>
      <c r="U492" t="s">
        <v>15</v>
      </c>
      <c r="V492" t="s">
        <v>3654</v>
      </c>
      <c r="X492" t="s">
        <v>3656</v>
      </c>
      <c r="Y492" t="b">
        <f t="shared" si="7"/>
        <v>1</v>
      </c>
    </row>
    <row r="493" spans="1:25" hidden="1">
      <c r="A493" s="11" t="s">
        <v>9939</v>
      </c>
      <c r="B493" t="s">
        <v>16</v>
      </c>
      <c r="C493" s="2" t="s">
        <v>8338</v>
      </c>
      <c r="D493" t="s">
        <v>3658</v>
      </c>
      <c r="E493" t="s">
        <v>3657</v>
      </c>
      <c r="F493" s="20">
        <v>0</v>
      </c>
      <c r="G493" s="20" t="s">
        <v>9178</v>
      </c>
      <c r="H493" t="s">
        <v>3662</v>
      </c>
      <c r="K493" t="s">
        <v>1014</v>
      </c>
      <c r="M493" t="str">
        <f>"02724332"</f>
        <v>02724332</v>
      </c>
      <c r="N493" s="2" t="str">
        <f>"20061001"</f>
        <v>20061001</v>
      </c>
      <c r="O493">
        <v>26</v>
      </c>
      <c r="P493">
        <v>5</v>
      </c>
      <c r="Q493">
        <v>1275</v>
      </c>
      <c r="R493">
        <v>15</v>
      </c>
      <c r="S493" t="s">
        <v>3659</v>
      </c>
      <c r="T493" t="s">
        <v>3660</v>
      </c>
      <c r="U493" t="s">
        <v>464</v>
      </c>
      <c r="V493" t="s">
        <v>3661</v>
      </c>
      <c r="X493" t="s">
        <v>3663</v>
      </c>
      <c r="Y493" t="b">
        <f t="shared" si="7"/>
        <v>0</v>
      </c>
    </row>
    <row r="494" spans="1:25">
      <c r="A494" s="11" t="s">
        <v>9939</v>
      </c>
      <c r="B494" t="s">
        <v>16</v>
      </c>
      <c r="C494" s="2" t="s">
        <v>8339</v>
      </c>
      <c r="D494" t="s">
        <v>3665</v>
      </c>
      <c r="E494" t="s">
        <v>3664</v>
      </c>
      <c r="F494" s="20">
        <v>1</v>
      </c>
      <c r="H494" t="s">
        <v>3669</v>
      </c>
      <c r="I494">
        <v>1</v>
      </c>
      <c r="K494" t="s">
        <v>40</v>
      </c>
      <c r="M494" t="str">
        <f>"15571912"</f>
        <v>15571912</v>
      </c>
      <c r="N494" s="2" t="str">
        <f>"20151001"</f>
        <v>20151001</v>
      </c>
      <c r="O494">
        <v>17</v>
      </c>
      <c r="P494">
        <v>5</v>
      </c>
      <c r="Q494">
        <v>1537</v>
      </c>
      <c r="R494">
        <v>11</v>
      </c>
      <c r="S494" t="s">
        <v>3666</v>
      </c>
      <c r="T494" t="s">
        <v>3667</v>
      </c>
      <c r="U494" t="s">
        <v>42</v>
      </c>
      <c r="V494" t="s">
        <v>3668</v>
      </c>
      <c r="X494" t="s">
        <v>3670</v>
      </c>
      <c r="Y494" t="b">
        <f t="shared" si="7"/>
        <v>0</v>
      </c>
    </row>
    <row r="495" spans="1:25" hidden="1">
      <c r="A495" s="11" t="s">
        <v>9939</v>
      </c>
      <c r="B495" t="s">
        <v>395</v>
      </c>
      <c r="C495" s="2" t="s">
        <v>8334</v>
      </c>
      <c r="D495" t="s">
        <v>3672</v>
      </c>
      <c r="E495" t="s">
        <v>3671</v>
      </c>
      <c r="F495" s="20">
        <v>0</v>
      </c>
      <c r="G495" s="20" t="s">
        <v>9178</v>
      </c>
      <c r="H495" t="s">
        <v>3677</v>
      </c>
      <c r="K495" t="s">
        <v>3673</v>
      </c>
      <c r="L495" t="str">
        <f>"9780765636805; 9780765636812"</f>
        <v>9780765636805; 9780765636812</v>
      </c>
      <c r="N495" s="2" t="str">
        <f>"20140101"</f>
        <v>20140101</v>
      </c>
      <c r="Q495">
        <v>104</v>
      </c>
      <c r="R495">
        <v>18</v>
      </c>
      <c r="S495" t="s">
        <v>3674</v>
      </c>
      <c r="U495" t="s">
        <v>3675</v>
      </c>
      <c r="V495" t="s">
        <v>3676</v>
      </c>
      <c r="X495" t="s">
        <v>3678</v>
      </c>
      <c r="Y495" t="b">
        <f t="shared" si="7"/>
        <v>0</v>
      </c>
    </row>
    <row r="496" spans="1:25" hidden="1">
      <c r="A496" s="11" t="s">
        <v>9939</v>
      </c>
      <c r="B496" t="s">
        <v>16</v>
      </c>
      <c r="C496" s="2" t="s">
        <v>8341</v>
      </c>
      <c r="D496" t="s">
        <v>1881</v>
      </c>
      <c r="E496" t="s">
        <v>3679</v>
      </c>
      <c r="F496" s="20">
        <v>0</v>
      </c>
      <c r="G496" s="20" t="s">
        <v>9178</v>
      </c>
      <c r="H496" t="s">
        <v>3684</v>
      </c>
      <c r="K496" t="s">
        <v>3680</v>
      </c>
      <c r="M496" t="str">
        <f>"15503550"</f>
        <v>15503550</v>
      </c>
      <c r="N496" s="2" t="str">
        <f>"20090101"</f>
        <v>20090101</v>
      </c>
      <c r="O496">
        <v>5</v>
      </c>
      <c r="P496">
        <v>2</v>
      </c>
      <c r="Q496">
        <v>139</v>
      </c>
      <c r="R496">
        <v>26</v>
      </c>
      <c r="S496" t="s">
        <v>3681</v>
      </c>
      <c r="U496" t="s">
        <v>3682</v>
      </c>
      <c r="V496" t="s">
        <v>3683</v>
      </c>
      <c r="X496" t="s">
        <v>3685</v>
      </c>
      <c r="Y496" t="b">
        <f t="shared" si="7"/>
        <v>0</v>
      </c>
    </row>
    <row r="497" spans="1:25" hidden="1">
      <c r="A497" s="11" t="s">
        <v>9939</v>
      </c>
      <c r="B497" t="s">
        <v>16</v>
      </c>
      <c r="C497" s="2" t="s">
        <v>8344</v>
      </c>
      <c r="D497" t="s">
        <v>3687</v>
      </c>
      <c r="E497" t="s">
        <v>3686</v>
      </c>
      <c r="F497" s="20">
        <v>0</v>
      </c>
      <c r="G497" s="20" t="s">
        <v>9178</v>
      </c>
      <c r="H497" t="s">
        <v>3691</v>
      </c>
      <c r="K497" t="s">
        <v>2483</v>
      </c>
      <c r="M497" t="str">
        <f>"17542863"</f>
        <v>17542863</v>
      </c>
      <c r="N497" s="2" t="str">
        <f>"20100601"</f>
        <v>20100601</v>
      </c>
      <c r="O497">
        <v>3</v>
      </c>
      <c r="P497">
        <v>1</v>
      </c>
      <c r="Q497">
        <v>61</v>
      </c>
      <c r="R497">
        <v>12</v>
      </c>
      <c r="S497" t="s">
        <v>3688</v>
      </c>
      <c r="T497" t="s">
        <v>3689</v>
      </c>
      <c r="U497" t="s">
        <v>87</v>
      </c>
      <c r="V497" t="s">
        <v>3690</v>
      </c>
      <c r="X497" t="s">
        <v>3692</v>
      </c>
      <c r="Y497" t="b">
        <f t="shared" si="7"/>
        <v>0</v>
      </c>
    </row>
    <row r="498" spans="1:25">
      <c r="A498" s="11" t="s">
        <v>9939</v>
      </c>
      <c r="B498" t="s">
        <v>16</v>
      </c>
      <c r="C498" s="2" t="s">
        <v>8344</v>
      </c>
      <c r="D498" t="s">
        <v>3694</v>
      </c>
      <c r="E498" t="s">
        <v>3693</v>
      </c>
      <c r="F498" s="20">
        <v>1</v>
      </c>
      <c r="H498" t="s">
        <v>3698</v>
      </c>
      <c r="I498">
        <v>1</v>
      </c>
      <c r="K498" t="s">
        <v>40</v>
      </c>
      <c r="M498" t="str">
        <f>"15571912"</f>
        <v>15571912</v>
      </c>
      <c r="N498" s="2" t="str">
        <f>"20100601"</f>
        <v>20100601</v>
      </c>
      <c r="O498">
        <v>12</v>
      </c>
      <c r="P498">
        <v>3</v>
      </c>
      <c r="Q498">
        <v>327</v>
      </c>
      <c r="R498">
        <v>13</v>
      </c>
      <c r="S498" t="s">
        <v>3695</v>
      </c>
      <c r="T498" t="s">
        <v>3696</v>
      </c>
      <c r="U498" t="s">
        <v>42</v>
      </c>
      <c r="V498" t="s">
        <v>3697</v>
      </c>
      <c r="X498" t="s">
        <v>3699</v>
      </c>
      <c r="Y498" t="b">
        <f t="shared" si="7"/>
        <v>0</v>
      </c>
    </row>
    <row r="499" spans="1:25">
      <c r="A499" s="11" t="s">
        <v>9939</v>
      </c>
      <c r="B499" t="s">
        <v>16</v>
      </c>
      <c r="C499" s="2" t="s">
        <v>8339</v>
      </c>
      <c r="D499" t="s">
        <v>3701</v>
      </c>
      <c r="E499" t="s">
        <v>3700</v>
      </c>
      <c r="F499" s="20">
        <v>1</v>
      </c>
      <c r="H499" t="s">
        <v>3705</v>
      </c>
      <c r="I499">
        <v>1</v>
      </c>
      <c r="K499" t="s">
        <v>1678</v>
      </c>
      <c r="M499" t="str">
        <f>"00221465"</f>
        <v>00221465</v>
      </c>
      <c r="N499" s="2" t="str">
        <f>"20151201"</f>
        <v>20151201</v>
      </c>
      <c r="O499">
        <v>56</v>
      </c>
      <c r="P499">
        <v>4</v>
      </c>
      <c r="Q499">
        <v>460</v>
      </c>
      <c r="R499">
        <v>18</v>
      </c>
      <c r="S499" t="s">
        <v>3702</v>
      </c>
      <c r="T499" t="s">
        <v>3703</v>
      </c>
      <c r="U499" t="s">
        <v>15</v>
      </c>
      <c r="V499" t="s">
        <v>3704</v>
      </c>
      <c r="X499" t="s">
        <v>3706</v>
      </c>
      <c r="Y499" t="b">
        <f t="shared" si="7"/>
        <v>0</v>
      </c>
    </row>
    <row r="500" spans="1:25" hidden="1">
      <c r="A500" s="11" t="s">
        <v>9939</v>
      </c>
      <c r="B500" t="s">
        <v>69</v>
      </c>
      <c r="C500" s="2" t="s">
        <v>8341</v>
      </c>
      <c r="D500" t="s">
        <v>3708</v>
      </c>
      <c r="E500" t="s">
        <v>3707</v>
      </c>
      <c r="H500" t="s">
        <v>3711</v>
      </c>
      <c r="K500" t="s">
        <v>101</v>
      </c>
      <c r="L500" t="str">
        <f>"9781109012385"</f>
        <v>9781109012385</v>
      </c>
      <c r="M500" t="str">
        <f>"04194217"</f>
        <v>04194217</v>
      </c>
      <c r="N500" s="2" t="str">
        <f>"20090101"</f>
        <v>20090101</v>
      </c>
      <c r="O500">
        <v>70</v>
      </c>
      <c r="P500" t="s">
        <v>102</v>
      </c>
      <c r="Q500">
        <v>936</v>
      </c>
      <c r="R500">
        <v>1</v>
      </c>
      <c r="S500" t="s">
        <v>3709</v>
      </c>
      <c r="U500" t="s">
        <v>68</v>
      </c>
      <c r="V500" t="s">
        <v>3710</v>
      </c>
      <c r="X500" t="s">
        <v>3712</v>
      </c>
      <c r="Y500" t="b">
        <f t="shared" si="7"/>
        <v>1</v>
      </c>
    </row>
    <row r="501" spans="1:25">
      <c r="A501" s="11" t="s">
        <v>9939</v>
      </c>
      <c r="B501" t="s">
        <v>16</v>
      </c>
      <c r="C501" s="2" t="s">
        <v>8344</v>
      </c>
      <c r="D501" t="s">
        <v>3714</v>
      </c>
      <c r="E501" t="s">
        <v>3713</v>
      </c>
      <c r="F501" s="20">
        <v>1</v>
      </c>
      <c r="H501" t="s">
        <v>3718</v>
      </c>
      <c r="I501">
        <v>0</v>
      </c>
      <c r="J501" t="s">
        <v>9265</v>
      </c>
      <c r="K501" t="s">
        <v>40</v>
      </c>
      <c r="M501" t="str">
        <f>"15571912"</f>
        <v>15571912</v>
      </c>
      <c r="N501" s="2" t="str">
        <f>"20101001"</f>
        <v>20101001</v>
      </c>
      <c r="O501">
        <v>12</v>
      </c>
      <c r="P501">
        <v>5</v>
      </c>
      <c r="Q501">
        <v>743</v>
      </c>
      <c r="R501">
        <v>11</v>
      </c>
      <c r="S501" t="s">
        <v>3715</v>
      </c>
      <c r="T501" t="s">
        <v>3716</v>
      </c>
      <c r="U501" t="s">
        <v>42</v>
      </c>
      <c r="V501" t="s">
        <v>3717</v>
      </c>
      <c r="X501" t="s">
        <v>3719</v>
      </c>
      <c r="Y501" t="b">
        <f t="shared" si="7"/>
        <v>0</v>
      </c>
    </row>
    <row r="502" spans="1:25" hidden="1">
      <c r="A502" s="11" t="s">
        <v>9939</v>
      </c>
      <c r="B502" t="s">
        <v>16</v>
      </c>
      <c r="C502" s="2" t="s">
        <v>8334</v>
      </c>
      <c r="D502" t="s">
        <v>3721</v>
      </c>
      <c r="E502" t="s">
        <v>3720</v>
      </c>
      <c r="H502" t="s">
        <v>3725</v>
      </c>
      <c r="K502" t="s">
        <v>40</v>
      </c>
      <c r="M502" t="str">
        <f>"15571912"</f>
        <v>15571912</v>
      </c>
      <c r="N502" s="2" t="str">
        <f>"20140801"</f>
        <v>20140801</v>
      </c>
      <c r="O502">
        <v>16</v>
      </c>
      <c r="P502">
        <v>4</v>
      </c>
      <c r="Q502">
        <v>622</v>
      </c>
      <c r="R502">
        <v>9</v>
      </c>
      <c r="S502" t="s">
        <v>3722</v>
      </c>
      <c r="T502" t="s">
        <v>3723</v>
      </c>
      <c r="U502" t="s">
        <v>42</v>
      </c>
      <c r="V502" t="s">
        <v>3724</v>
      </c>
      <c r="X502" t="s">
        <v>3726</v>
      </c>
      <c r="Y502" t="b">
        <f t="shared" si="7"/>
        <v>1</v>
      </c>
    </row>
    <row r="503" spans="1:25" hidden="1">
      <c r="A503" s="11" t="s">
        <v>9939</v>
      </c>
      <c r="B503" t="s">
        <v>16</v>
      </c>
      <c r="C503" s="2" t="s">
        <v>8347</v>
      </c>
      <c r="D503" t="s">
        <v>3728</v>
      </c>
      <c r="E503" t="s">
        <v>3727</v>
      </c>
      <c r="F503" s="20">
        <v>0</v>
      </c>
      <c r="G503" s="20" t="s">
        <v>9178</v>
      </c>
      <c r="H503" t="s">
        <v>3732</v>
      </c>
      <c r="K503" t="s">
        <v>347</v>
      </c>
      <c r="M503" t="str">
        <f>"00900036"</f>
        <v>00900036</v>
      </c>
      <c r="N503" s="2" t="str">
        <f>"20081101"</f>
        <v>20081101</v>
      </c>
      <c r="O503">
        <v>98</v>
      </c>
      <c r="P503">
        <v>11</v>
      </c>
      <c r="Q503">
        <v>2058</v>
      </c>
      <c r="R503">
        <v>7</v>
      </c>
      <c r="S503" t="s">
        <v>3729</v>
      </c>
      <c r="T503" t="s">
        <v>3730</v>
      </c>
      <c r="U503" t="s">
        <v>350</v>
      </c>
      <c r="V503" t="s">
        <v>3731</v>
      </c>
      <c r="X503" t="s">
        <v>3733</v>
      </c>
      <c r="Y503" t="b">
        <f t="shared" si="7"/>
        <v>0</v>
      </c>
    </row>
    <row r="504" spans="1:25" hidden="1">
      <c r="A504" s="11" t="s">
        <v>9939</v>
      </c>
      <c r="B504" t="s">
        <v>16</v>
      </c>
      <c r="C504" s="2" t="s">
        <v>8341</v>
      </c>
      <c r="D504" t="s">
        <v>3735</v>
      </c>
      <c r="E504" t="s">
        <v>3734</v>
      </c>
      <c r="F504" s="20">
        <v>0</v>
      </c>
      <c r="G504" s="20" t="s">
        <v>9178</v>
      </c>
      <c r="H504" t="s">
        <v>3740</v>
      </c>
      <c r="K504" t="s">
        <v>3736</v>
      </c>
      <c r="M504" t="str">
        <f>"00945145"</f>
        <v>00945145</v>
      </c>
      <c r="N504" s="2" t="str">
        <f>"20090601"</f>
        <v>20090601</v>
      </c>
      <c r="O504">
        <v>34</v>
      </c>
      <c r="P504">
        <v>3</v>
      </c>
      <c r="Q504">
        <v>181</v>
      </c>
      <c r="R504">
        <v>7</v>
      </c>
      <c r="S504" t="s">
        <v>3737</v>
      </c>
      <c r="T504" t="s">
        <v>3738</v>
      </c>
      <c r="U504" t="s">
        <v>42</v>
      </c>
      <c r="V504" t="s">
        <v>3739</v>
      </c>
      <c r="X504" t="s">
        <v>3741</v>
      </c>
      <c r="Y504" t="b">
        <f t="shared" si="7"/>
        <v>0</v>
      </c>
    </row>
    <row r="505" spans="1:25" hidden="1">
      <c r="A505" s="11" t="s">
        <v>9939</v>
      </c>
      <c r="B505" t="s">
        <v>16</v>
      </c>
      <c r="C505" s="2" t="s">
        <v>8344</v>
      </c>
      <c r="D505" t="s">
        <v>3743</v>
      </c>
      <c r="E505" t="s">
        <v>3742</v>
      </c>
      <c r="H505" t="s">
        <v>3747</v>
      </c>
      <c r="K505" t="s">
        <v>140</v>
      </c>
      <c r="M505" t="str">
        <f>"02779536"</f>
        <v>02779536</v>
      </c>
      <c r="N505" s="2" t="str">
        <f>"20100901"</f>
        <v>20100901</v>
      </c>
      <c r="O505">
        <v>71</v>
      </c>
      <c r="P505">
        <v>5</v>
      </c>
      <c r="Q505">
        <v>1002</v>
      </c>
      <c r="R505">
        <v>9</v>
      </c>
      <c r="S505" t="s">
        <v>3744</v>
      </c>
      <c r="T505" t="s">
        <v>3745</v>
      </c>
      <c r="U505" t="s">
        <v>34</v>
      </c>
      <c r="V505" t="s">
        <v>3746</v>
      </c>
      <c r="X505" t="s">
        <v>3748</v>
      </c>
      <c r="Y505" t="b">
        <f t="shared" si="7"/>
        <v>1</v>
      </c>
    </row>
    <row r="506" spans="1:25" hidden="1">
      <c r="A506" s="11" t="s">
        <v>9939</v>
      </c>
      <c r="B506" t="s">
        <v>16</v>
      </c>
      <c r="C506" s="2" t="s">
        <v>8344</v>
      </c>
      <c r="D506" t="s">
        <v>3750</v>
      </c>
      <c r="E506" t="s">
        <v>3749</v>
      </c>
      <c r="F506" s="20">
        <v>0</v>
      </c>
      <c r="G506" s="20" t="s">
        <v>9178</v>
      </c>
      <c r="H506" t="s">
        <v>3754</v>
      </c>
      <c r="K506" t="s">
        <v>40</v>
      </c>
      <c r="M506" t="str">
        <f>"15571912"</f>
        <v>15571912</v>
      </c>
      <c r="N506" s="2" t="str">
        <f>"20100601"</f>
        <v>20100601</v>
      </c>
      <c r="O506">
        <v>12</v>
      </c>
      <c r="P506">
        <v>3</v>
      </c>
      <c r="Q506">
        <v>390</v>
      </c>
      <c r="R506">
        <v>8</v>
      </c>
      <c r="S506" t="s">
        <v>3751</v>
      </c>
      <c r="T506" t="s">
        <v>3752</v>
      </c>
      <c r="U506" t="s">
        <v>42</v>
      </c>
      <c r="V506" t="s">
        <v>3753</v>
      </c>
      <c r="X506" t="s">
        <v>3755</v>
      </c>
      <c r="Y506" t="b">
        <f t="shared" si="7"/>
        <v>0</v>
      </c>
    </row>
    <row r="507" spans="1:25" hidden="1">
      <c r="A507" s="11" t="s">
        <v>9939</v>
      </c>
      <c r="B507" t="s">
        <v>16</v>
      </c>
      <c r="C507" s="2" t="s">
        <v>8356</v>
      </c>
      <c r="D507" t="s">
        <v>3757</v>
      </c>
      <c r="E507" t="s">
        <v>3756</v>
      </c>
      <c r="F507" s="20">
        <v>0</v>
      </c>
      <c r="G507" s="20" t="s">
        <v>9178</v>
      </c>
      <c r="H507" t="s">
        <v>3762</v>
      </c>
      <c r="K507" t="s">
        <v>3758</v>
      </c>
      <c r="M507" t="str">
        <f>"07371209"</f>
        <v>07371209</v>
      </c>
      <c r="N507" s="2" t="str">
        <f>"19900101"</f>
        <v>19900101</v>
      </c>
      <c r="O507">
        <v>7</v>
      </c>
      <c r="P507">
        <v>2</v>
      </c>
      <c r="Q507">
        <v>80</v>
      </c>
      <c r="R507">
        <v>8</v>
      </c>
      <c r="S507" t="s">
        <v>3759</v>
      </c>
      <c r="T507" t="s">
        <v>3760</v>
      </c>
      <c r="U507" t="s">
        <v>464</v>
      </c>
      <c r="V507" t="s">
        <v>3761</v>
      </c>
      <c r="X507" t="s">
        <v>3763</v>
      </c>
      <c r="Y507" t="b">
        <f t="shared" si="7"/>
        <v>0</v>
      </c>
    </row>
    <row r="508" spans="1:25" hidden="1">
      <c r="A508" s="11" t="s">
        <v>9939</v>
      </c>
      <c r="B508" t="s">
        <v>16</v>
      </c>
      <c r="C508" s="2" t="s">
        <v>8340</v>
      </c>
      <c r="D508" t="s">
        <v>3765</v>
      </c>
      <c r="E508" t="s">
        <v>3764</v>
      </c>
      <c r="F508" s="20">
        <v>0</v>
      </c>
      <c r="G508" s="20" t="s">
        <v>9950</v>
      </c>
      <c r="H508" t="s">
        <v>3769</v>
      </c>
      <c r="K508" t="s">
        <v>1414</v>
      </c>
      <c r="M508" t="str">
        <f>"13557858"</f>
        <v>13557858</v>
      </c>
      <c r="N508" s="2" t="str">
        <f>"20180701"</f>
        <v>20180701</v>
      </c>
      <c r="O508">
        <v>23</v>
      </c>
      <c r="P508">
        <v>5</v>
      </c>
      <c r="Q508">
        <v>566</v>
      </c>
      <c r="R508">
        <v>16</v>
      </c>
      <c r="S508" t="s">
        <v>3766</v>
      </c>
      <c r="T508" t="s">
        <v>3767</v>
      </c>
      <c r="U508" t="s">
        <v>87</v>
      </c>
      <c r="V508" t="s">
        <v>3768</v>
      </c>
      <c r="X508" t="s">
        <v>3770</v>
      </c>
      <c r="Y508" t="b">
        <f t="shared" si="7"/>
        <v>0</v>
      </c>
    </row>
    <row r="509" spans="1:25" hidden="1">
      <c r="A509" s="11" t="s">
        <v>9939</v>
      </c>
      <c r="B509" t="s">
        <v>16</v>
      </c>
      <c r="C509" s="2" t="s">
        <v>8334</v>
      </c>
      <c r="D509" t="s">
        <v>3772</v>
      </c>
      <c r="E509" t="s">
        <v>3771</v>
      </c>
      <c r="F509" s="20">
        <v>0</v>
      </c>
      <c r="G509" s="20" t="s">
        <v>9178</v>
      </c>
      <c r="H509" t="s">
        <v>3776</v>
      </c>
      <c r="K509" t="s">
        <v>1414</v>
      </c>
      <c r="M509" t="str">
        <f>"13557858"</f>
        <v>13557858</v>
      </c>
      <c r="N509" s="2" t="str">
        <f>"20140301"</f>
        <v>20140301</v>
      </c>
      <c r="O509">
        <v>19</v>
      </c>
      <c r="P509">
        <v>2</v>
      </c>
      <c r="Q509">
        <v>178</v>
      </c>
      <c r="R509">
        <v>20</v>
      </c>
      <c r="S509" t="s">
        <v>3773</v>
      </c>
      <c r="T509" t="s">
        <v>3774</v>
      </c>
      <c r="U509" t="s">
        <v>87</v>
      </c>
      <c r="V509" t="s">
        <v>3775</v>
      </c>
      <c r="X509" t="s">
        <v>3777</v>
      </c>
      <c r="Y509" t="b">
        <f t="shared" si="7"/>
        <v>0</v>
      </c>
    </row>
    <row r="510" spans="1:25" hidden="1">
      <c r="A510" s="11" t="s">
        <v>9939</v>
      </c>
      <c r="B510" t="s">
        <v>16</v>
      </c>
      <c r="C510" s="2" t="s">
        <v>8353</v>
      </c>
      <c r="D510" t="s">
        <v>3779</v>
      </c>
      <c r="E510" t="s">
        <v>3778</v>
      </c>
      <c r="H510" t="s">
        <v>3783</v>
      </c>
      <c r="K510" t="s">
        <v>40</v>
      </c>
      <c r="M510" t="str">
        <f>"15571912"</f>
        <v>15571912</v>
      </c>
      <c r="N510" s="2" t="str">
        <f>"20160801"</f>
        <v>20160801</v>
      </c>
      <c r="O510">
        <v>18</v>
      </c>
      <c r="P510">
        <v>4</v>
      </c>
      <c r="Q510">
        <v>779</v>
      </c>
      <c r="R510">
        <v>8</v>
      </c>
      <c r="S510" t="s">
        <v>3780</v>
      </c>
      <c r="T510" t="s">
        <v>3781</v>
      </c>
      <c r="U510" t="s">
        <v>42</v>
      </c>
      <c r="V510" t="s">
        <v>3782</v>
      </c>
      <c r="X510" t="s">
        <v>3784</v>
      </c>
      <c r="Y510" t="b">
        <f t="shared" si="7"/>
        <v>1</v>
      </c>
    </row>
    <row r="511" spans="1:25" hidden="1">
      <c r="A511" s="11" t="s">
        <v>9939</v>
      </c>
      <c r="B511" t="s">
        <v>16</v>
      </c>
      <c r="C511" s="2" t="s">
        <v>8339</v>
      </c>
      <c r="D511" t="s">
        <v>3786</v>
      </c>
      <c r="E511" t="s">
        <v>3785</v>
      </c>
      <c r="F511" s="20">
        <v>0</v>
      </c>
      <c r="G511" s="20" t="s">
        <v>9178</v>
      </c>
      <c r="H511" t="s">
        <v>3790</v>
      </c>
      <c r="K511" t="s">
        <v>40</v>
      </c>
      <c r="M511" t="str">
        <f>"15571912"</f>
        <v>15571912</v>
      </c>
      <c r="N511" s="2" t="str">
        <f>"20151201"</f>
        <v>20151201</v>
      </c>
      <c r="O511">
        <v>17</v>
      </c>
      <c r="P511">
        <v>6</v>
      </c>
      <c r="Q511">
        <v>1679</v>
      </c>
      <c r="R511">
        <v>8</v>
      </c>
      <c r="S511" t="s">
        <v>3787</v>
      </c>
      <c r="T511" t="s">
        <v>3788</v>
      </c>
      <c r="U511" t="s">
        <v>42</v>
      </c>
      <c r="V511" t="s">
        <v>3789</v>
      </c>
      <c r="X511" t="s">
        <v>3791</v>
      </c>
      <c r="Y511" t="b">
        <f t="shared" si="7"/>
        <v>0</v>
      </c>
    </row>
    <row r="512" spans="1:25" hidden="1">
      <c r="A512" s="11" t="s">
        <v>9939</v>
      </c>
      <c r="B512" t="s">
        <v>16</v>
      </c>
      <c r="C512" s="2" t="s">
        <v>8349</v>
      </c>
      <c r="D512" t="s">
        <v>3793</v>
      </c>
      <c r="E512" t="s">
        <v>3792</v>
      </c>
      <c r="F512" s="20">
        <v>0</v>
      </c>
      <c r="G512" s="20" t="s">
        <v>9178</v>
      </c>
      <c r="H512" t="s">
        <v>3797</v>
      </c>
      <c r="K512" t="s">
        <v>3061</v>
      </c>
      <c r="M512" t="str">
        <f>"15579883"</f>
        <v>15579883</v>
      </c>
      <c r="N512" s="2" t="str">
        <f>"20190301"</f>
        <v>20190301</v>
      </c>
      <c r="O512">
        <v>13</v>
      </c>
      <c r="P512">
        <v>2</v>
      </c>
      <c r="S512" t="s">
        <v>3794</v>
      </c>
      <c r="T512" t="s">
        <v>3795</v>
      </c>
      <c r="U512" t="s">
        <v>15</v>
      </c>
      <c r="V512" t="s">
        <v>3796</v>
      </c>
      <c r="X512" t="s">
        <v>3798</v>
      </c>
      <c r="Y512" t="b">
        <f t="shared" si="7"/>
        <v>0</v>
      </c>
    </row>
    <row r="513" spans="1:25">
      <c r="A513" s="11" t="s">
        <v>9939</v>
      </c>
      <c r="B513" t="s">
        <v>69</v>
      </c>
      <c r="C513" s="2" t="s">
        <v>8344</v>
      </c>
      <c r="D513" t="s">
        <v>3800</v>
      </c>
      <c r="E513" t="s">
        <v>3799</v>
      </c>
      <c r="F513" s="20">
        <v>1</v>
      </c>
      <c r="H513" t="s">
        <v>3803</v>
      </c>
      <c r="I513">
        <v>1</v>
      </c>
      <c r="K513" t="s">
        <v>65</v>
      </c>
      <c r="L513" t="str">
        <f>"9781124029078"</f>
        <v>9781124029078</v>
      </c>
      <c r="M513" t="str">
        <f>"04194209"</f>
        <v>04194209</v>
      </c>
      <c r="N513" s="2" t="str">
        <f>"20100101"</f>
        <v>20100101</v>
      </c>
      <c r="O513">
        <v>71</v>
      </c>
      <c r="P513" t="s">
        <v>3324</v>
      </c>
      <c r="Q513">
        <v>2239</v>
      </c>
      <c r="R513">
        <v>1</v>
      </c>
      <c r="S513" t="s">
        <v>3801</v>
      </c>
      <c r="U513" t="s">
        <v>68</v>
      </c>
      <c r="V513" t="s">
        <v>3802</v>
      </c>
      <c r="X513" t="s">
        <v>3804</v>
      </c>
      <c r="Y513" t="b">
        <f t="shared" si="7"/>
        <v>0</v>
      </c>
    </row>
    <row r="514" spans="1:25" hidden="1">
      <c r="A514" s="11" t="s">
        <v>9939</v>
      </c>
      <c r="B514" t="s">
        <v>16</v>
      </c>
      <c r="C514" s="2" t="s">
        <v>8337</v>
      </c>
      <c r="D514" t="s">
        <v>3806</v>
      </c>
      <c r="E514" t="s">
        <v>3805</v>
      </c>
      <c r="F514" s="20">
        <v>0</v>
      </c>
      <c r="G514" s="20" t="s">
        <v>9249</v>
      </c>
      <c r="H514" t="s">
        <v>3809</v>
      </c>
      <c r="K514" t="s">
        <v>314</v>
      </c>
      <c r="M514" t="str">
        <f>"19726325"</f>
        <v>19726325</v>
      </c>
      <c r="N514" s="2" t="str">
        <f>"20130901"</f>
        <v>20130901</v>
      </c>
      <c r="O514">
        <v>20</v>
      </c>
      <c r="P514">
        <v>3</v>
      </c>
      <c r="Q514">
        <v>201</v>
      </c>
      <c r="R514">
        <v>16</v>
      </c>
      <c r="S514" t="s">
        <v>3807</v>
      </c>
      <c r="U514" t="s">
        <v>316</v>
      </c>
      <c r="V514" t="s">
        <v>3808</v>
      </c>
      <c r="X514" t="s">
        <v>3810</v>
      </c>
      <c r="Y514" t="b">
        <f t="shared" ref="Y514:Y577" si="8">COUNTIF(X:X, X514)&gt;1</f>
        <v>0</v>
      </c>
    </row>
    <row r="515" spans="1:25" hidden="1">
      <c r="A515" s="11" t="s">
        <v>9939</v>
      </c>
      <c r="B515" t="s">
        <v>16</v>
      </c>
      <c r="C515" s="2" t="s">
        <v>8334</v>
      </c>
      <c r="D515" t="s">
        <v>3812</v>
      </c>
      <c r="E515" t="s">
        <v>3811</v>
      </c>
      <c r="F515" s="20">
        <v>0</v>
      </c>
      <c r="G515" s="20" t="s">
        <v>9249</v>
      </c>
      <c r="H515" t="s">
        <v>3816</v>
      </c>
      <c r="K515" t="s">
        <v>132</v>
      </c>
      <c r="M515" t="str">
        <f>"01471767"</f>
        <v>01471767</v>
      </c>
      <c r="N515" s="2" t="str">
        <f>"20140901"</f>
        <v>20140901</v>
      </c>
      <c r="O515">
        <v>42</v>
      </c>
      <c r="Q515">
        <v>25</v>
      </c>
      <c r="R515">
        <v>13</v>
      </c>
      <c r="S515" t="s">
        <v>3813</v>
      </c>
      <c r="T515" t="s">
        <v>3814</v>
      </c>
      <c r="U515" t="s">
        <v>34</v>
      </c>
      <c r="V515" t="s">
        <v>3815</v>
      </c>
      <c r="X515" t="s">
        <v>3817</v>
      </c>
      <c r="Y515" t="b">
        <f t="shared" si="8"/>
        <v>0</v>
      </c>
    </row>
    <row r="516" spans="1:25" hidden="1">
      <c r="A516" s="11" t="s">
        <v>9939</v>
      </c>
      <c r="B516" t="s">
        <v>16</v>
      </c>
      <c r="C516" s="2" t="s">
        <v>8342</v>
      </c>
      <c r="D516" t="s">
        <v>3819</v>
      </c>
      <c r="E516" t="s">
        <v>3818</v>
      </c>
      <c r="F516" s="20">
        <v>0</v>
      </c>
      <c r="G516" s="20" t="s">
        <v>9178</v>
      </c>
      <c r="H516" t="s">
        <v>3823</v>
      </c>
      <c r="K516" t="s">
        <v>2045</v>
      </c>
      <c r="M516" t="str">
        <f>"08999546"</f>
        <v>08999546</v>
      </c>
      <c r="N516" s="2" t="str">
        <f>"20121201"</f>
        <v>20121201</v>
      </c>
      <c r="O516">
        <v>24</v>
      </c>
      <c r="P516">
        <v>6</v>
      </c>
      <c r="Q516">
        <v>549</v>
      </c>
      <c r="R516">
        <v>15</v>
      </c>
      <c r="S516" t="s">
        <v>3820</v>
      </c>
      <c r="T516" t="s">
        <v>3821</v>
      </c>
      <c r="U516" t="s">
        <v>2048</v>
      </c>
      <c r="V516" t="s">
        <v>3822</v>
      </c>
      <c r="X516" t="s">
        <v>3824</v>
      </c>
      <c r="Y516" t="b">
        <f t="shared" si="8"/>
        <v>0</v>
      </c>
    </row>
    <row r="517" spans="1:25">
      <c r="A517" s="11" t="s">
        <v>9939</v>
      </c>
      <c r="B517" t="s">
        <v>16</v>
      </c>
      <c r="C517" s="2" t="s">
        <v>8353</v>
      </c>
      <c r="D517" t="s">
        <v>3826</v>
      </c>
      <c r="E517" t="s">
        <v>3825</v>
      </c>
      <c r="F517" s="20">
        <v>1</v>
      </c>
      <c r="H517" t="s">
        <v>3830</v>
      </c>
      <c r="I517">
        <v>1</v>
      </c>
      <c r="K517" t="s">
        <v>1751</v>
      </c>
      <c r="M517" t="str">
        <f>"10907165"</f>
        <v>10907165</v>
      </c>
      <c r="N517" s="2" t="str">
        <f>"20160401"</f>
        <v>20160401</v>
      </c>
      <c r="O517">
        <v>20</v>
      </c>
      <c r="P517">
        <v>4</v>
      </c>
      <c r="Q517">
        <v>919</v>
      </c>
      <c r="R517">
        <v>9</v>
      </c>
      <c r="S517" t="s">
        <v>3827</v>
      </c>
      <c r="T517" t="s">
        <v>3828</v>
      </c>
      <c r="U517" t="s">
        <v>42</v>
      </c>
      <c r="V517" t="s">
        <v>3829</v>
      </c>
      <c r="X517" t="s">
        <v>3831</v>
      </c>
      <c r="Y517" t="b">
        <f t="shared" si="8"/>
        <v>0</v>
      </c>
    </row>
    <row r="518" spans="1:25" hidden="1">
      <c r="A518" s="11" t="s">
        <v>9939</v>
      </c>
      <c r="B518" t="s">
        <v>16</v>
      </c>
      <c r="C518" s="2" t="s">
        <v>8342</v>
      </c>
      <c r="D518" t="s">
        <v>3833</v>
      </c>
      <c r="E518" t="s">
        <v>3832</v>
      </c>
      <c r="F518" s="20">
        <v>0</v>
      </c>
      <c r="G518" s="20" t="s">
        <v>9178</v>
      </c>
      <c r="H518" t="s">
        <v>3837</v>
      </c>
      <c r="K518" t="s">
        <v>40</v>
      </c>
      <c r="M518" t="str">
        <f>"15571912"</f>
        <v>15571912</v>
      </c>
      <c r="N518" s="2" t="str">
        <f>"20120801"</f>
        <v>20120801</v>
      </c>
      <c r="O518">
        <v>14</v>
      </c>
      <c r="P518">
        <v>4</v>
      </c>
      <c r="Q518">
        <v>540</v>
      </c>
      <c r="R518">
        <v>12</v>
      </c>
      <c r="S518" t="s">
        <v>3834</v>
      </c>
      <c r="T518" t="s">
        <v>3835</v>
      </c>
      <c r="U518" t="s">
        <v>42</v>
      </c>
      <c r="V518" t="s">
        <v>3836</v>
      </c>
      <c r="X518" t="s">
        <v>3838</v>
      </c>
      <c r="Y518" t="b">
        <f t="shared" si="8"/>
        <v>0</v>
      </c>
    </row>
    <row r="519" spans="1:25">
      <c r="A519" s="11" t="s">
        <v>9939</v>
      </c>
      <c r="B519" t="s">
        <v>69</v>
      </c>
      <c r="C519" s="2" t="s">
        <v>8340</v>
      </c>
      <c r="D519" t="s">
        <v>3840</v>
      </c>
      <c r="E519" t="s">
        <v>3839</v>
      </c>
      <c r="F519" s="20">
        <v>1</v>
      </c>
      <c r="H519" t="s">
        <v>3843</v>
      </c>
      <c r="I519">
        <v>1</v>
      </c>
      <c r="K519" t="s">
        <v>65</v>
      </c>
      <c r="L519" t="str">
        <f>"9780355124668"</f>
        <v>9780355124668</v>
      </c>
      <c r="M519" t="str">
        <f>"04194209"</f>
        <v>04194209</v>
      </c>
      <c r="N519" s="2" t="str">
        <f>"20180101"</f>
        <v>20180101</v>
      </c>
      <c r="O519">
        <v>79</v>
      </c>
      <c r="P519" t="s">
        <v>447</v>
      </c>
      <c r="S519" t="s">
        <v>3841</v>
      </c>
      <c r="U519" t="s">
        <v>68</v>
      </c>
      <c r="V519" t="s">
        <v>3842</v>
      </c>
      <c r="X519" t="s">
        <v>3844</v>
      </c>
      <c r="Y519" t="b">
        <f t="shared" si="8"/>
        <v>0</v>
      </c>
    </row>
    <row r="520" spans="1:25" hidden="1">
      <c r="A520" s="11" t="s">
        <v>9939</v>
      </c>
      <c r="B520" t="s">
        <v>16</v>
      </c>
      <c r="C520" s="2" t="s">
        <v>8340</v>
      </c>
      <c r="D520" t="s">
        <v>3846</v>
      </c>
      <c r="E520" t="s">
        <v>3845</v>
      </c>
      <c r="F520" s="20">
        <v>0</v>
      </c>
      <c r="G520" s="20" t="s">
        <v>9178</v>
      </c>
      <c r="H520" t="s">
        <v>3851</v>
      </c>
      <c r="K520" t="s">
        <v>3847</v>
      </c>
      <c r="M520" t="str">
        <f>"01902725"</f>
        <v>01902725</v>
      </c>
      <c r="N520" s="2" t="str">
        <f>"20180301"</f>
        <v>20180301</v>
      </c>
      <c r="O520">
        <v>81</v>
      </c>
      <c r="P520">
        <v>1</v>
      </c>
      <c r="Q520">
        <v>23</v>
      </c>
      <c r="R520">
        <v>25</v>
      </c>
      <c r="S520" t="s">
        <v>3848</v>
      </c>
      <c r="T520" t="s">
        <v>3849</v>
      </c>
      <c r="U520" t="s">
        <v>15</v>
      </c>
      <c r="V520" t="s">
        <v>3850</v>
      </c>
      <c r="X520" t="s">
        <v>3852</v>
      </c>
      <c r="Y520" t="b">
        <f t="shared" si="8"/>
        <v>0</v>
      </c>
    </row>
    <row r="521" spans="1:25" hidden="1">
      <c r="A521" s="11" t="s">
        <v>9939</v>
      </c>
      <c r="B521" t="s">
        <v>16</v>
      </c>
      <c r="C521" s="2" t="s">
        <v>8341</v>
      </c>
      <c r="D521" t="s">
        <v>3854</v>
      </c>
      <c r="E521" t="s">
        <v>3853</v>
      </c>
      <c r="H521" t="s">
        <v>3858</v>
      </c>
      <c r="K521" t="s">
        <v>3855</v>
      </c>
      <c r="M521" t="str">
        <f>"00066761"</f>
        <v>00066761</v>
      </c>
      <c r="N521" s="2" t="str">
        <f>"20090901"</f>
        <v>20090901</v>
      </c>
      <c r="O521">
        <v>259</v>
      </c>
      <c r="P521">
        <v>56</v>
      </c>
      <c r="Q521">
        <v>51</v>
      </c>
      <c r="R521">
        <v>11</v>
      </c>
      <c r="S521" t="s">
        <v>3856</v>
      </c>
      <c r="U521" t="s">
        <v>3855</v>
      </c>
      <c r="V521" t="s">
        <v>3857</v>
      </c>
      <c r="X521" t="s">
        <v>3859</v>
      </c>
      <c r="Y521" t="b">
        <f t="shared" si="8"/>
        <v>1</v>
      </c>
    </row>
    <row r="522" spans="1:25" hidden="1">
      <c r="A522" s="11" t="s">
        <v>9939</v>
      </c>
      <c r="B522" t="s">
        <v>16</v>
      </c>
      <c r="C522" s="2" t="s">
        <v>8339</v>
      </c>
      <c r="D522" t="s">
        <v>3861</v>
      </c>
      <c r="E522" t="s">
        <v>3860</v>
      </c>
      <c r="F522" s="20">
        <v>0</v>
      </c>
      <c r="G522" t="s">
        <v>9249</v>
      </c>
      <c r="H522" t="s">
        <v>3865</v>
      </c>
      <c r="K522" t="s">
        <v>2402</v>
      </c>
      <c r="M522" t="str">
        <f>"00027642"</f>
        <v>00027642</v>
      </c>
      <c r="N522" s="2" t="str">
        <f>"20150501"</f>
        <v>20150501</v>
      </c>
      <c r="O522">
        <v>59</v>
      </c>
      <c r="P522">
        <v>6</v>
      </c>
      <c r="Q522">
        <v>747</v>
      </c>
      <c r="R522">
        <v>22</v>
      </c>
      <c r="S522" t="s">
        <v>3862</v>
      </c>
      <c r="T522" t="s">
        <v>3863</v>
      </c>
      <c r="U522" t="s">
        <v>15</v>
      </c>
      <c r="V522" t="s">
        <v>3864</v>
      </c>
      <c r="X522" t="s">
        <v>3866</v>
      </c>
      <c r="Y522" t="b">
        <f t="shared" si="8"/>
        <v>0</v>
      </c>
    </row>
    <row r="523" spans="1:25" hidden="1">
      <c r="A523" s="11" t="s">
        <v>9939</v>
      </c>
      <c r="B523" t="s">
        <v>16</v>
      </c>
      <c r="C523" s="2" t="s">
        <v>8340</v>
      </c>
      <c r="D523" t="s">
        <v>3868</v>
      </c>
      <c r="E523" t="s">
        <v>3867</v>
      </c>
      <c r="F523" s="20">
        <v>0</v>
      </c>
      <c r="G523" s="20" t="s">
        <v>9178</v>
      </c>
      <c r="H523" t="s">
        <v>3872</v>
      </c>
      <c r="K523" t="s">
        <v>2634</v>
      </c>
      <c r="M523" t="str">
        <f>"19326203"</f>
        <v>19326203</v>
      </c>
      <c r="N523" s="2" t="str">
        <f>"20180301"</f>
        <v>20180301</v>
      </c>
      <c r="O523">
        <v>13</v>
      </c>
      <c r="P523">
        <v>3</v>
      </c>
      <c r="S523" t="s">
        <v>3869</v>
      </c>
      <c r="T523" t="s">
        <v>3870</v>
      </c>
      <c r="U523" t="s">
        <v>2637</v>
      </c>
      <c r="V523" t="s">
        <v>3871</v>
      </c>
      <c r="X523" t="s">
        <v>3873</v>
      </c>
      <c r="Y523" t="b">
        <f t="shared" si="8"/>
        <v>0</v>
      </c>
    </row>
    <row r="524" spans="1:25" hidden="1">
      <c r="A524" s="11" t="s">
        <v>9939</v>
      </c>
      <c r="B524" t="s">
        <v>16</v>
      </c>
      <c r="C524" s="2" t="s">
        <v>8339</v>
      </c>
      <c r="D524" t="s">
        <v>3875</v>
      </c>
      <c r="E524" t="s">
        <v>3874</v>
      </c>
      <c r="H524" t="s">
        <v>3879</v>
      </c>
      <c r="K524" t="s">
        <v>93</v>
      </c>
      <c r="M524" t="str">
        <f>"00207640"</f>
        <v>00207640</v>
      </c>
      <c r="N524" s="2" t="str">
        <f>"20150801"</f>
        <v>20150801</v>
      </c>
      <c r="O524">
        <v>61</v>
      </c>
      <c r="P524">
        <v>5</v>
      </c>
      <c r="Q524">
        <v>498</v>
      </c>
      <c r="R524">
        <v>8</v>
      </c>
      <c r="S524" t="s">
        <v>3876</v>
      </c>
      <c r="T524" t="s">
        <v>3877</v>
      </c>
      <c r="U524" t="s">
        <v>15</v>
      </c>
      <c r="V524" t="s">
        <v>3878</v>
      </c>
      <c r="X524" t="s">
        <v>3880</v>
      </c>
      <c r="Y524" t="b">
        <f t="shared" si="8"/>
        <v>1</v>
      </c>
    </row>
    <row r="525" spans="1:25" hidden="1">
      <c r="A525" s="11" t="s">
        <v>9939</v>
      </c>
      <c r="B525" t="s">
        <v>16</v>
      </c>
      <c r="C525" s="2" t="s">
        <v>8353</v>
      </c>
      <c r="D525" t="s">
        <v>3882</v>
      </c>
      <c r="E525" t="s">
        <v>3881</v>
      </c>
      <c r="H525" t="s">
        <v>3887</v>
      </c>
      <c r="K525" t="s">
        <v>3883</v>
      </c>
      <c r="M525" t="str">
        <f>"00027162"</f>
        <v>00027162</v>
      </c>
      <c r="N525" s="2" t="str">
        <f>"20160701"</f>
        <v>20160701</v>
      </c>
      <c r="O525">
        <v>666</v>
      </c>
      <c r="P525">
        <v>1</v>
      </c>
      <c r="Q525">
        <v>64</v>
      </c>
      <c r="R525">
        <v>13</v>
      </c>
      <c r="S525" t="s">
        <v>3884</v>
      </c>
      <c r="T525" t="s">
        <v>3885</v>
      </c>
      <c r="U525" t="s">
        <v>15</v>
      </c>
      <c r="V525" t="s">
        <v>3886</v>
      </c>
      <c r="X525" t="s">
        <v>3888</v>
      </c>
      <c r="Y525" t="b">
        <f t="shared" si="8"/>
        <v>1</v>
      </c>
    </row>
    <row r="526" spans="1:25" hidden="1">
      <c r="A526" s="11" t="s">
        <v>9939</v>
      </c>
      <c r="B526" t="s">
        <v>395</v>
      </c>
      <c r="C526" s="2" t="s">
        <v>8334</v>
      </c>
      <c r="D526" t="s">
        <v>3890</v>
      </c>
      <c r="E526" t="s">
        <v>3889</v>
      </c>
      <c r="F526" s="20">
        <v>0</v>
      </c>
      <c r="G526" t="s">
        <v>9237</v>
      </c>
      <c r="H526" t="s">
        <v>3895</v>
      </c>
      <c r="K526" t="s">
        <v>3891</v>
      </c>
      <c r="L526" t="str">
        <f>"9780739177006; 9780739185605; 9780739177013"</f>
        <v>9780739177006; 9780739185605; 9780739177013</v>
      </c>
      <c r="N526" s="2" t="str">
        <f>"20140101"</f>
        <v>20140101</v>
      </c>
      <c r="Q526">
        <v>241</v>
      </c>
      <c r="R526">
        <v>27</v>
      </c>
      <c r="S526" t="s">
        <v>3892</v>
      </c>
      <c r="U526" t="s">
        <v>3893</v>
      </c>
      <c r="V526" t="s">
        <v>3894</v>
      </c>
      <c r="X526" t="s">
        <v>3896</v>
      </c>
      <c r="Y526" t="b">
        <f t="shared" si="8"/>
        <v>0</v>
      </c>
    </row>
    <row r="527" spans="1:25" hidden="1">
      <c r="A527" s="11" t="s">
        <v>9939</v>
      </c>
      <c r="B527" t="s">
        <v>16</v>
      </c>
      <c r="C527" s="2" t="s">
        <v>8339</v>
      </c>
      <c r="D527" t="s">
        <v>3898</v>
      </c>
      <c r="E527" t="s">
        <v>3897</v>
      </c>
      <c r="F527" s="20">
        <v>0</v>
      </c>
      <c r="G527" s="20" t="s">
        <v>9950</v>
      </c>
      <c r="H527" t="s">
        <v>3902</v>
      </c>
      <c r="K527" t="s">
        <v>1774</v>
      </c>
      <c r="M527" t="str">
        <f>"0049089X"</f>
        <v>0049089X</v>
      </c>
      <c r="N527" s="2" t="str">
        <f>"20150901"</f>
        <v>20150901</v>
      </c>
      <c r="O527">
        <v>53</v>
      </c>
      <c r="Q527">
        <v>19</v>
      </c>
      <c r="R527">
        <v>15</v>
      </c>
      <c r="S527" t="s">
        <v>3899</v>
      </c>
      <c r="T527" t="s">
        <v>3900</v>
      </c>
      <c r="U527" t="s">
        <v>34</v>
      </c>
      <c r="V527" t="s">
        <v>3901</v>
      </c>
      <c r="X527" t="s">
        <v>3903</v>
      </c>
      <c r="Y527" t="b">
        <f t="shared" si="8"/>
        <v>0</v>
      </c>
    </row>
    <row r="528" spans="1:25" hidden="1">
      <c r="A528" s="11" t="s">
        <v>9939</v>
      </c>
      <c r="B528" t="s">
        <v>16</v>
      </c>
      <c r="C528" s="2" t="s">
        <v>8339</v>
      </c>
      <c r="D528" t="s">
        <v>3385</v>
      </c>
      <c r="E528" t="s">
        <v>3904</v>
      </c>
      <c r="F528" s="20">
        <v>0</v>
      </c>
      <c r="G528" s="20" t="s">
        <v>9178</v>
      </c>
      <c r="H528" t="s">
        <v>3909</v>
      </c>
      <c r="K528" t="s">
        <v>3905</v>
      </c>
      <c r="M528" t="str">
        <f>"15332985"</f>
        <v>15332985</v>
      </c>
      <c r="N528" s="2" t="str">
        <f>"20150301"</f>
        <v>20150301</v>
      </c>
      <c r="O528">
        <v>13</v>
      </c>
      <c r="P528">
        <v>2</v>
      </c>
      <c r="Q528">
        <v>159</v>
      </c>
      <c r="R528">
        <v>27</v>
      </c>
      <c r="S528" t="s">
        <v>3906</v>
      </c>
      <c r="T528" t="s">
        <v>3907</v>
      </c>
      <c r="U528" t="s">
        <v>87</v>
      </c>
      <c r="V528" t="s">
        <v>3908</v>
      </c>
      <c r="X528" t="s">
        <v>3910</v>
      </c>
      <c r="Y528" t="b">
        <f t="shared" si="8"/>
        <v>0</v>
      </c>
    </row>
    <row r="529" spans="1:25" hidden="1">
      <c r="A529" s="11" t="s">
        <v>9939</v>
      </c>
      <c r="B529" t="s">
        <v>16</v>
      </c>
      <c r="C529" s="2" t="s">
        <v>8344</v>
      </c>
      <c r="D529" t="s">
        <v>3912</v>
      </c>
      <c r="E529" t="s">
        <v>3911</v>
      </c>
      <c r="F529" s="20">
        <v>0</v>
      </c>
      <c r="G529" s="20" t="s">
        <v>9950</v>
      </c>
      <c r="H529" t="s">
        <v>3917</v>
      </c>
      <c r="K529" t="s">
        <v>3913</v>
      </c>
      <c r="M529" t="str">
        <f>"08848734"</f>
        <v>08848734</v>
      </c>
      <c r="N529" s="2" t="str">
        <f>"20100801"</f>
        <v>20100801</v>
      </c>
      <c r="O529">
        <v>25</v>
      </c>
      <c r="P529">
        <v>8</v>
      </c>
      <c r="Q529">
        <v>847</v>
      </c>
      <c r="R529">
        <v>6</v>
      </c>
      <c r="S529" t="s">
        <v>3914</v>
      </c>
      <c r="T529" t="s">
        <v>3915</v>
      </c>
      <c r="U529" t="s">
        <v>42</v>
      </c>
      <c r="V529" t="s">
        <v>3916</v>
      </c>
      <c r="X529" t="s">
        <v>3918</v>
      </c>
      <c r="Y529" t="b">
        <f t="shared" si="8"/>
        <v>0</v>
      </c>
    </row>
    <row r="530" spans="1:25">
      <c r="A530" s="11" t="s">
        <v>9939</v>
      </c>
      <c r="B530" t="s">
        <v>16</v>
      </c>
      <c r="C530" s="2" t="s">
        <v>8347</v>
      </c>
      <c r="D530" t="s">
        <v>3920</v>
      </c>
      <c r="E530" t="s">
        <v>3919</v>
      </c>
      <c r="F530" s="20">
        <v>1</v>
      </c>
      <c r="H530" t="s">
        <v>3924</v>
      </c>
      <c r="I530">
        <v>0</v>
      </c>
      <c r="J530" t="s">
        <v>9245</v>
      </c>
      <c r="K530" t="s">
        <v>2037</v>
      </c>
      <c r="M530" t="str">
        <f>"00223514"</f>
        <v>00223514</v>
      </c>
      <c r="N530" s="2" t="str">
        <f>"20081201"</f>
        <v>20081201</v>
      </c>
      <c r="O530">
        <v>95</v>
      </c>
      <c r="P530">
        <v>6</v>
      </c>
      <c r="Q530">
        <v>1354</v>
      </c>
      <c r="R530">
        <v>13</v>
      </c>
      <c r="S530" t="s">
        <v>3921</v>
      </c>
      <c r="T530" t="s">
        <v>3922</v>
      </c>
      <c r="U530" t="s">
        <v>59</v>
      </c>
      <c r="V530" t="s">
        <v>3923</v>
      </c>
      <c r="X530" t="s">
        <v>3925</v>
      </c>
      <c r="Y530" t="b">
        <f t="shared" si="8"/>
        <v>0</v>
      </c>
    </row>
    <row r="531" spans="1:25" hidden="1">
      <c r="A531" s="11" t="s">
        <v>9939</v>
      </c>
      <c r="B531" t="s">
        <v>16</v>
      </c>
      <c r="C531" s="2" t="s">
        <v>8339</v>
      </c>
      <c r="D531" t="s">
        <v>3927</v>
      </c>
      <c r="E531" t="s">
        <v>3926</v>
      </c>
      <c r="H531" t="s">
        <v>3932</v>
      </c>
      <c r="K531" t="s">
        <v>132</v>
      </c>
      <c r="M531" t="str">
        <f>"01471767"</f>
        <v>01471767</v>
      </c>
      <c r="N531" s="2" t="str">
        <f>"20150501"</f>
        <v>20150501</v>
      </c>
      <c r="O531">
        <v>46</v>
      </c>
      <c r="Q531">
        <v>13</v>
      </c>
      <c r="R531">
        <v>13</v>
      </c>
      <c r="S531" t="s">
        <v>3928</v>
      </c>
      <c r="T531" t="s">
        <v>3929</v>
      </c>
      <c r="U531" t="s">
        <v>3930</v>
      </c>
      <c r="V531" t="s">
        <v>3931</v>
      </c>
      <c r="X531" t="s">
        <v>3933</v>
      </c>
      <c r="Y531" t="b">
        <f t="shared" si="8"/>
        <v>1</v>
      </c>
    </row>
    <row r="532" spans="1:25" hidden="1">
      <c r="A532" s="11" t="s">
        <v>9939</v>
      </c>
      <c r="B532" t="s">
        <v>16</v>
      </c>
      <c r="C532" s="2" t="s">
        <v>8353</v>
      </c>
      <c r="D532" t="s">
        <v>3935</v>
      </c>
      <c r="E532" t="s">
        <v>3934</v>
      </c>
      <c r="H532" t="s">
        <v>3939</v>
      </c>
      <c r="K532" t="s">
        <v>252</v>
      </c>
      <c r="M532" t="str">
        <f>"00220221"</f>
        <v>00220221</v>
      </c>
      <c r="N532" s="2" t="str">
        <f>"20160501"</f>
        <v>20160501</v>
      </c>
      <c r="O532">
        <v>47</v>
      </c>
      <c r="P532">
        <v>4</v>
      </c>
      <c r="Q532">
        <v>483</v>
      </c>
      <c r="R532">
        <v>25</v>
      </c>
      <c r="S532" t="s">
        <v>3936</v>
      </c>
      <c r="T532" t="s">
        <v>3937</v>
      </c>
      <c r="U532" t="s">
        <v>15</v>
      </c>
      <c r="V532" t="s">
        <v>3938</v>
      </c>
      <c r="X532" t="s">
        <v>3940</v>
      </c>
      <c r="Y532" t="b">
        <f t="shared" si="8"/>
        <v>1</v>
      </c>
    </row>
    <row r="533" spans="1:25">
      <c r="A533" s="11" t="s">
        <v>9939</v>
      </c>
      <c r="B533" t="s">
        <v>16</v>
      </c>
      <c r="C533" s="2" t="s">
        <v>8340</v>
      </c>
      <c r="D533" t="s">
        <v>2598</v>
      </c>
      <c r="E533" t="s">
        <v>3941</v>
      </c>
      <c r="F533" s="20">
        <v>1</v>
      </c>
      <c r="H533" t="s">
        <v>3945</v>
      </c>
      <c r="I533">
        <v>1</v>
      </c>
      <c r="K533" t="s">
        <v>322</v>
      </c>
      <c r="M533" t="str">
        <f>"03038300"</f>
        <v>03038300</v>
      </c>
      <c r="N533" s="2" t="str">
        <f>"20181001"</f>
        <v>20181001</v>
      </c>
      <c r="O533">
        <v>139</v>
      </c>
      <c r="P533">
        <v>3</v>
      </c>
      <c r="Q533">
        <v>1219</v>
      </c>
      <c r="R533">
        <v>17</v>
      </c>
      <c r="S533" t="s">
        <v>3942</v>
      </c>
      <c r="T533" t="s">
        <v>3943</v>
      </c>
      <c r="U533" t="s">
        <v>42</v>
      </c>
      <c r="V533" t="s">
        <v>3944</v>
      </c>
      <c r="X533" t="s">
        <v>3946</v>
      </c>
      <c r="Y533" t="b">
        <f t="shared" si="8"/>
        <v>0</v>
      </c>
    </row>
    <row r="534" spans="1:25">
      <c r="A534" s="11" t="s">
        <v>9939</v>
      </c>
      <c r="B534" t="s">
        <v>16</v>
      </c>
      <c r="C534" s="2" t="s">
        <v>8338</v>
      </c>
      <c r="D534" t="s">
        <v>3948</v>
      </c>
      <c r="E534" t="s">
        <v>3947</v>
      </c>
      <c r="F534" s="20">
        <v>1</v>
      </c>
      <c r="H534" t="s">
        <v>3952</v>
      </c>
      <c r="I534">
        <v>0</v>
      </c>
      <c r="J534" t="s">
        <v>9178</v>
      </c>
      <c r="K534" t="s">
        <v>3139</v>
      </c>
      <c r="M534" t="str">
        <f>"0162895X"</f>
        <v>0162895X</v>
      </c>
      <c r="N534" s="2" t="str">
        <f>"20060201"</f>
        <v>20060201</v>
      </c>
      <c r="O534">
        <v>27</v>
      </c>
      <c r="P534">
        <v>1</v>
      </c>
      <c r="Q534">
        <v>123</v>
      </c>
      <c r="R534">
        <v>24</v>
      </c>
      <c r="S534" t="s">
        <v>3949</v>
      </c>
      <c r="T534" t="s">
        <v>3950</v>
      </c>
      <c r="U534" t="s">
        <v>464</v>
      </c>
      <c r="V534" t="s">
        <v>3951</v>
      </c>
      <c r="X534" t="s">
        <v>3953</v>
      </c>
      <c r="Y534" t="b">
        <f t="shared" si="8"/>
        <v>0</v>
      </c>
    </row>
    <row r="535" spans="1:25">
      <c r="A535" s="11" t="s">
        <v>9939</v>
      </c>
      <c r="B535" t="s">
        <v>16</v>
      </c>
      <c r="C535" s="2" t="s">
        <v>8334</v>
      </c>
      <c r="D535" t="s">
        <v>3955</v>
      </c>
      <c r="E535" t="s">
        <v>3954</v>
      </c>
      <c r="F535" s="20">
        <v>1</v>
      </c>
      <c r="H535" t="s">
        <v>3960</v>
      </c>
      <c r="I535">
        <v>1</v>
      </c>
      <c r="K535" t="s">
        <v>3956</v>
      </c>
      <c r="M535" t="str">
        <f>"00218294"</f>
        <v>00218294</v>
      </c>
      <c r="N535" s="2" t="str">
        <f>"20140901"</f>
        <v>20140901</v>
      </c>
      <c r="O535">
        <v>53</v>
      </c>
      <c r="P535">
        <v>3</v>
      </c>
      <c r="Q535">
        <v>613</v>
      </c>
      <c r="R535">
        <v>23</v>
      </c>
      <c r="S535" t="s">
        <v>3957</v>
      </c>
      <c r="T535" t="s">
        <v>3958</v>
      </c>
      <c r="U535" t="s">
        <v>730</v>
      </c>
      <c r="V535" t="s">
        <v>3959</v>
      </c>
      <c r="X535" t="s">
        <v>3961</v>
      </c>
      <c r="Y535" t="b">
        <f t="shared" si="8"/>
        <v>0</v>
      </c>
    </row>
    <row r="536" spans="1:25">
      <c r="A536" s="11" t="s">
        <v>9939</v>
      </c>
      <c r="B536" t="s">
        <v>16</v>
      </c>
      <c r="C536" s="2" t="s">
        <v>8348</v>
      </c>
      <c r="D536" t="s">
        <v>3963</v>
      </c>
      <c r="E536" t="s">
        <v>3962</v>
      </c>
      <c r="F536" s="20">
        <v>1</v>
      </c>
      <c r="H536" t="s">
        <v>3969</v>
      </c>
      <c r="I536">
        <v>1</v>
      </c>
      <c r="K536" t="s">
        <v>3964</v>
      </c>
      <c r="M536" t="str">
        <f>"00377732"</f>
        <v>00377732</v>
      </c>
      <c r="N536" s="2" t="str">
        <f>"20050901"</f>
        <v>20050901</v>
      </c>
      <c r="O536">
        <v>84</v>
      </c>
      <c r="P536">
        <v>1</v>
      </c>
      <c r="Q536">
        <v>581</v>
      </c>
      <c r="R536">
        <v>13</v>
      </c>
      <c r="S536" t="s">
        <v>3965</v>
      </c>
      <c r="T536" t="s">
        <v>3966</v>
      </c>
      <c r="U536" t="s">
        <v>3967</v>
      </c>
      <c r="V536" t="s">
        <v>3968</v>
      </c>
      <c r="X536" t="s">
        <v>3970</v>
      </c>
      <c r="Y536" t="b">
        <f t="shared" si="8"/>
        <v>0</v>
      </c>
    </row>
    <row r="537" spans="1:25" hidden="1">
      <c r="A537" s="11" t="s">
        <v>9939</v>
      </c>
      <c r="B537" t="s">
        <v>16</v>
      </c>
      <c r="C537" s="2" t="s">
        <v>8334</v>
      </c>
      <c r="D537" t="s">
        <v>3972</v>
      </c>
      <c r="E537" t="s">
        <v>3971</v>
      </c>
      <c r="F537" s="20">
        <v>0</v>
      </c>
      <c r="G537" s="20" t="s">
        <v>9178</v>
      </c>
      <c r="H537" t="s">
        <v>3976</v>
      </c>
      <c r="K537" t="s">
        <v>40</v>
      </c>
      <c r="M537" t="str">
        <f>"15571912"</f>
        <v>15571912</v>
      </c>
      <c r="N537" s="2" t="str">
        <f>"20141201"</f>
        <v>20141201</v>
      </c>
      <c r="O537">
        <v>16</v>
      </c>
      <c r="P537">
        <v>6</v>
      </c>
      <c r="Q537">
        <v>1303</v>
      </c>
      <c r="R537">
        <v>4</v>
      </c>
      <c r="S537" t="s">
        <v>3973</v>
      </c>
      <c r="T537" t="s">
        <v>3974</v>
      </c>
      <c r="U537" t="s">
        <v>42</v>
      </c>
      <c r="V537" t="s">
        <v>3975</v>
      </c>
      <c r="X537" t="s">
        <v>3977</v>
      </c>
      <c r="Y537" t="b">
        <f t="shared" si="8"/>
        <v>0</v>
      </c>
    </row>
    <row r="538" spans="1:25" hidden="1">
      <c r="A538" s="11" t="s">
        <v>9939</v>
      </c>
      <c r="B538" t="s">
        <v>395</v>
      </c>
      <c r="C538" s="2" t="s">
        <v>8352</v>
      </c>
      <c r="D538" t="s">
        <v>3979</v>
      </c>
      <c r="E538" t="s">
        <v>3978</v>
      </c>
      <c r="H538" t="s">
        <v>3983</v>
      </c>
      <c r="K538" t="s">
        <v>3980</v>
      </c>
      <c r="L538" t="str">
        <f>"0789022281; 078902229X"</f>
        <v>0789022281; 078902229X</v>
      </c>
      <c r="N538" s="2" t="str">
        <f>"20030101"</f>
        <v>20030101</v>
      </c>
      <c r="Q538">
        <v>99</v>
      </c>
      <c r="R538">
        <v>18</v>
      </c>
      <c r="S538" t="s">
        <v>3981</v>
      </c>
      <c r="U538" t="s">
        <v>420</v>
      </c>
      <c r="V538" t="s">
        <v>3982</v>
      </c>
      <c r="X538" t="s">
        <v>3984</v>
      </c>
      <c r="Y538" t="b">
        <f t="shared" si="8"/>
        <v>1</v>
      </c>
    </row>
    <row r="539" spans="1:25" hidden="1">
      <c r="A539" s="11" t="s">
        <v>9939</v>
      </c>
      <c r="B539" t="s">
        <v>16</v>
      </c>
      <c r="C539" s="2" t="s">
        <v>8352</v>
      </c>
      <c r="D539" t="s">
        <v>3979</v>
      </c>
      <c r="E539" t="s">
        <v>3978</v>
      </c>
      <c r="H539" t="s">
        <v>3989</v>
      </c>
      <c r="K539" t="s">
        <v>3985</v>
      </c>
      <c r="M539" t="str">
        <f>"15377903"</f>
        <v>15377903</v>
      </c>
      <c r="N539" s="2" t="str">
        <f>"20030101"</f>
        <v>20030101</v>
      </c>
      <c r="O539">
        <v>19</v>
      </c>
      <c r="P539">
        <v>2</v>
      </c>
      <c r="Q539">
        <v>99</v>
      </c>
      <c r="R539">
        <v>18</v>
      </c>
      <c r="S539" t="s">
        <v>3986</v>
      </c>
      <c r="T539" t="s">
        <v>3987</v>
      </c>
      <c r="U539" t="s">
        <v>420</v>
      </c>
      <c r="V539" t="s">
        <v>3988</v>
      </c>
      <c r="X539" t="s">
        <v>3990</v>
      </c>
      <c r="Y539" t="b">
        <f t="shared" si="8"/>
        <v>1</v>
      </c>
    </row>
    <row r="540" spans="1:25" hidden="1">
      <c r="A540" s="11" t="s">
        <v>9939</v>
      </c>
      <c r="B540" t="s">
        <v>16</v>
      </c>
      <c r="C540" s="2" t="s">
        <v>8357</v>
      </c>
      <c r="D540" t="s">
        <v>3992</v>
      </c>
      <c r="E540" t="s">
        <v>3991</v>
      </c>
      <c r="F540" s="20">
        <v>0</v>
      </c>
      <c r="G540" s="20" t="s">
        <v>9178</v>
      </c>
      <c r="H540" t="s">
        <v>3997</v>
      </c>
      <c r="K540" t="s">
        <v>470</v>
      </c>
      <c r="M540" t="str">
        <f>"00029432"</f>
        <v>00029432</v>
      </c>
      <c r="N540" s="2" t="str">
        <f>"19891001"</f>
        <v>19891001</v>
      </c>
      <c r="O540">
        <v>59</v>
      </c>
      <c r="P540">
        <v>4</v>
      </c>
      <c r="Q540">
        <v>510</v>
      </c>
      <c r="R540">
        <v>10</v>
      </c>
      <c r="S540" t="s">
        <v>3993</v>
      </c>
      <c r="T540" t="s">
        <v>3994</v>
      </c>
      <c r="U540" t="s">
        <v>3995</v>
      </c>
      <c r="V540" t="s">
        <v>3996</v>
      </c>
      <c r="X540" t="s">
        <v>3998</v>
      </c>
      <c r="Y540" t="b">
        <f t="shared" si="8"/>
        <v>0</v>
      </c>
    </row>
    <row r="541" spans="1:25" hidden="1">
      <c r="A541" s="11" t="s">
        <v>9939</v>
      </c>
      <c r="B541" t="s">
        <v>16</v>
      </c>
      <c r="C541" s="2" t="s">
        <v>8340</v>
      </c>
      <c r="D541" t="s">
        <v>4000</v>
      </c>
      <c r="E541" t="s">
        <v>3999</v>
      </c>
      <c r="F541" s="20">
        <v>0</v>
      </c>
      <c r="G541" t="s">
        <v>9237</v>
      </c>
      <c r="H541" t="s">
        <v>4004</v>
      </c>
      <c r="K541" t="s">
        <v>2634</v>
      </c>
      <c r="M541" t="str">
        <f>"19326203"</f>
        <v>19326203</v>
      </c>
      <c r="N541" s="2" t="str">
        <f>"20180314"</f>
        <v>20180314</v>
      </c>
      <c r="O541">
        <v>13</v>
      </c>
      <c r="P541">
        <v>3</v>
      </c>
      <c r="S541" t="s">
        <v>4001</v>
      </c>
      <c r="T541" t="s">
        <v>4002</v>
      </c>
      <c r="U541" t="s">
        <v>2637</v>
      </c>
      <c r="V541" t="s">
        <v>4003</v>
      </c>
      <c r="X541" t="s">
        <v>4005</v>
      </c>
      <c r="Y541" t="b">
        <f t="shared" si="8"/>
        <v>0</v>
      </c>
    </row>
    <row r="542" spans="1:25" hidden="1">
      <c r="A542" s="11" t="s">
        <v>9939</v>
      </c>
      <c r="B542" t="s">
        <v>16</v>
      </c>
      <c r="C542" s="2" t="s">
        <v>8353</v>
      </c>
      <c r="D542" t="s">
        <v>4007</v>
      </c>
      <c r="E542" t="s">
        <v>4006</v>
      </c>
      <c r="H542" t="s">
        <v>4011</v>
      </c>
      <c r="K542" t="s">
        <v>703</v>
      </c>
      <c r="M542" t="str">
        <f>"00219029"</f>
        <v>00219029</v>
      </c>
      <c r="N542" s="2" t="str">
        <f>"20160701"</f>
        <v>20160701</v>
      </c>
      <c r="O542">
        <v>46</v>
      </c>
      <c r="P542">
        <v>7</v>
      </c>
      <c r="Q542">
        <v>394</v>
      </c>
      <c r="R542">
        <v>16</v>
      </c>
      <c r="S542" t="s">
        <v>4008</v>
      </c>
      <c r="T542" t="s">
        <v>4009</v>
      </c>
      <c r="U542" t="s">
        <v>730</v>
      </c>
      <c r="V542" t="s">
        <v>4010</v>
      </c>
      <c r="X542" t="s">
        <v>4012</v>
      </c>
      <c r="Y542" t="b">
        <f t="shared" si="8"/>
        <v>1</v>
      </c>
    </row>
    <row r="543" spans="1:25" hidden="1">
      <c r="A543" s="11" t="s">
        <v>9939</v>
      </c>
      <c r="B543" t="s">
        <v>16</v>
      </c>
      <c r="C543" s="2" t="s">
        <v>8344</v>
      </c>
      <c r="D543" t="s">
        <v>4014</v>
      </c>
      <c r="E543" t="s">
        <v>4013</v>
      </c>
      <c r="F543" s="20">
        <v>0</v>
      </c>
      <c r="G543" s="20" t="s">
        <v>9178</v>
      </c>
      <c r="H543" t="s">
        <v>4018</v>
      </c>
      <c r="K543" t="s">
        <v>140</v>
      </c>
      <c r="M543" t="str">
        <f>"02779536"</f>
        <v>02779536</v>
      </c>
      <c r="N543" s="2" t="str">
        <f>"20100601"</f>
        <v>20100601</v>
      </c>
      <c r="O543">
        <v>70</v>
      </c>
      <c r="P543">
        <v>12</v>
      </c>
      <c r="Q543">
        <v>1997</v>
      </c>
      <c r="R543">
        <v>9</v>
      </c>
      <c r="S543" t="s">
        <v>4015</v>
      </c>
      <c r="T543" t="s">
        <v>4016</v>
      </c>
      <c r="U543" t="s">
        <v>34</v>
      </c>
      <c r="V543" t="s">
        <v>4017</v>
      </c>
      <c r="X543" t="s">
        <v>4019</v>
      </c>
      <c r="Y543" t="b">
        <f t="shared" si="8"/>
        <v>0</v>
      </c>
    </row>
    <row r="544" spans="1:25">
      <c r="A544" s="11" t="s">
        <v>9939</v>
      </c>
      <c r="B544" t="s">
        <v>16</v>
      </c>
      <c r="C544" s="2" t="s">
        <v>8348</v>
      </c>
      <c r="D544" t="s">
        <v>4021</v>
      </c>
      <c r="E544" t="s">
        <v>4020</v>
      </c>
      <c r="F544" s="20">
        <v>1</v>
      </c>
      <c r="H544" t="s">
        <v>4026</v>
      </c>
      <c r="I544">
        <v>1</v>
      </c>
      <c r="K544" t="s">
        <v>4022</v>
      </c>
      <c r="M544" t="str">
        <f>"0112109X"</f>
        <v>0112109X</v>
      </c>
      <c r="N544" s="2" t="str">
        <f>"20050701"</f>
        <v>20050701</v>
      </c>
      <c r="O544">
        <v>34</v>
      </c>
      <c r="P544">
        <v>2</v>
      </c>
      <c r="Q544">
        <v>97</v>
      </c>
      <c r="R544">
        <v>13</v>
      </c>
      <c r="S544" t="s">
        <v>4023</v>
      </c>
      <c r="U544" t="s">
        <v>4024</v>
      </c>
      <c r="V544" t="s">
        <v>4025</v>
      </c>
      <c r="X544" t="s">
        <v>4027</v>
      </c>
      <c r="Y544" t="b">
        <f t="shared" si="8"/>
        <v>0</v>
      </c>
    </row>
    <row r="545" spans="1:25">
      <c r="A545" s="11" t="s">
        <v>9939</v>
      </c>
      <c r="B545" t="s">
        <v>16</v>
      </c>
      <c r="C545" s="2" t="s">
        <v>8339</v>
      </c>
      <c r="D545" t="s">
        <v>4029</v>
      </c>
      <c r="E545" t="s">
        <v>4028</v>
      </c>
      <c r="F545" s="20">
        <v>1</v>
      </c>
      <c r="H545" t="s">
        <v>4033</v>
      </c>
      <c r="I545">
        <v>0</v>
      </c>
      <c r="J545" t="s">
        <v>9178</v>
      </c>
      <c r="K545" t="s">
        <v>40</v>
      </c>
      <c r="M545" t="str">
        <f>"15571912"</f>
        <v>15571912</v>
      </c>
      <c r="N545" s="2" t="str">
        <f>"20150401"</f>
        <v>20150401</v>
      </c>
      <c r="O545">
        <v>17</v>
      </c>
      <c r="P545">
        <v>2</v>
      </c>
      <c r="Q545">
        <v>367</v>
      </c>
      <c r="R545">
        <v>8</v>
      </c>
      <c r="S545" t="s">
        <v>4030</v>
      </c>
      <c r="T545" t="s">
        <v>4031</v>
      </c>
      <c r="U545" t="s">
        <v>42</v>
      </c>
      <c r="V545" t="s">
        <v>4032</v>
      </c>
      <c r="X545" t="s">
        <v>4034</v>
      </c>
      <c r="Y545" t="b">
        <f t="shared" si="8"/>
        <v>0</v>
      </c>
    </row>
    <row r="546" spans="1:25">
      <c r="A546" s="11" t="s">
        <v>9939</v>
      </c>
      <c r="B546" t="s">
        <v>16</v>
      </c>
      <c r="C546" s="2" t="s">
        <v>8343</v>
      </c>
      <c r="D546" t="s">
        <v>4036</v>
      </c>
      <c r="E546" t="s">
        <v>4035</v>
      </c>
      <c r="F546" s="20">
        <v>1</v>
      </c>
      <c r="H546" t="s">
        <v>4041</v>
      </c>
      <c r="I546">
        <v>1</v>
      </c>
      <c r="J546" t="s">
        <v>9952</v>
      </c>
      <c r="K546" t="s">
        <v>4037</v>
      </c>
      <c r="M546" t="str">
        <f>"03616843"</f>
        <v>03616843</v>
      </c>
      <c r="N546" s="2" t="str">
        <f>"20171201"</f>
        <v>20171201</v>
      </c>
      <c r="O546">
        <v>41</v>
      </c>
      <c r="P546">
        <v>4</v>
      </c>
      <c r="Q546">
        <v>497</v>
      </c>
      <c r="R546">
        <v>16</v>
      </c>
      <c r="S546" t="s">
        <v>4038</v>
      </c>
      <c r="T546" t="s">
        <v>4039</v>
      </c>
      <c r="U546" t="s">
        <v>15</v>
      </c>
      <c r="V546" t="s">
        <v>4040</v>
      </c>
      <c r="X546" t="s">
        <v>4042</v>
      </c>
      <c r="Y546" t="b">
        <f t="shared" si="8"/>
        <v>0</v>
      </c>
    </row>
    <row r="547" spans="1:25">
      <c r="A547" s="11" t="s">
        <v>9939</v>
      </c>
      <c r="B547" t="s">
        <v>16</v>
      </c>
      <c r="C547" s="2" t="s">
        <v>8349</v>
      </c>
      <c r="D547" t="s">
        <v>4044</v>
      </c>
      <c r="E547" t="s">
        <v>4043</v>
      </c>
      <c r="F547" s="20">
        <v>1</v>
      </c>
      <c r="H547" t="s">
        <v>4048</v>
      </c>
      <c r="I547">
        <v>1</v>
      </c>
      <c r="K547" t="s">
        <v>2818</v>
      </c>
      <c r="M547" t="str">
        <f>"08933189"</f>
        <v>08933189</v>
      </c>
      <c r="N547" s="2" t="str">
        <f>"20190501"</f>
        <v>20190501</v>
      </c>
      <c r="O547">
        <v>33</v>
      </c>
      <c r="P547">
        <v>2</v>
      </c>
      <c r="Q547">
        <v>189</v>
      </c>
      <c r="R547">
        <v>30</v>
      </c>
      <c r="S547" t="s">
        <v>4045</v>
      </c>
      <c r="T547" t="s">
        <v>4046</v>
      </c>
      <c r="U547" t="s">
        <v>15</v>
      </c>
      <c r="V547" t="s">
        <v>4047</v>
      </c>
      <c r="X547" t="s">
        <v>4049</v>
      </c>
      <c r="Y547" t="b">
        <f t="shared" si="8"/>
        <v>0</v>
      </c>
    </row>
    <row r="548" spans="1:25" hidden="1">
      <c r="A548" s="11" t="s">
        <v>9939</v>
      </c>
      <c r="B548" t="s">
        <v>16</v>
      </c>
      <c r="C548" s="2" t="s">
        <v>8342</v>
      </c>
      <c r="D548" t="s">
        <v>4051</v>
      </c>
      <c r="E548" t="s">
        <v>4050</v>
      </c>
      <c r="H548" t="s">
        <v>4055</v>
      </c>
      <c r="K548" t="s">
        <v>132</v>
      </c>
      <c r="M548" t="str">
        <f>"01471767"</f>
        <v>01471767</v>
      </c>
      <c r="N548" s="2" t="str">
        <f>"20120701"</f>
        <v>20120701</v>
      </c>
      <c r="O548">
        <v>36</v>
      </c>
      <c r="P548">
        <v>4</v>
      </c>
      <c r="Q548">
        <v>498</v>
      </c>
      <c r="R548">
        <v>8</v>
      </c>
      <c r="S548" t="s">
        <v>4052</v>
      </c>
      <c r="T548" t="s">
        <v>4053</v>
      </c>
      <c r="U548" t="s">
        <v>34</v>
      </c>
      <c r="V548" t="s">
        <v>4054</v>
      </c>
      <c r="X548" t="s">
        <v>4056</v>
      </c>
      <c r="Y548" t="b">
        <f t="shared" si="8"/>
        <v>1</v>
      </c>
    </row>
    <row r="549" spans="1:25" hidden="1">
      <c r="A549" s="11" t="s">
        <v>9939</v>
      </c>
      <c r="B549" t="s">
        <v>16</v>
      </c>
      <c r="C549" s="2" t="s">
        <v>8349</v>
      </c>
      <c r="D549" t="s">
        <v>4058</v>
      </c>
      <c r="E549" t="s">
        <v>4057</v>
      </c>
      <c r="F549" s="20">
        <v>0</v>
      </c>
      <c r="G549" s="20" t="s">
        <v>9178</v>
      </c>
      <c r="H549" t="s">
        <v>4061</v>
      </c>
      <c r="K549" t="s">
        <v>314</v>
      </c>
      <c r="M549" t="str">
        <f>"19726325"</f>
        <v>19726325</v>
      </c>
      <c r="N549" s="2" t="str">
        <f>"20191201"</f>
        <v>20191201</v>
      </c>
      <c r="O549">
        <v>26</v>
      </c>
      <c r="P549">
        <v>4</v>
      </c>
      <c r="Q549">
        <v>601</v>
      </c>
      <c r="R549">
        <v>19</v>
      </c>
      <c r="S549" t="s">
        <v>4059</v>
      </c>
      <c r="U549" t="s">
        <v>316</v>
      </c>
      <c r="V549" t="s">
        <v>4060</v>
      </c>
      <c r="X549" t="s">
        <v>4062</v>
      </c>
      <c r="Y549" t="b">
        <f t="shared" si="8"/>
        <v>0</v>
      </c>
    </row>
    <row r="550" spans="1:25" hidden="1">
      <c r="A550" s="11" t="s">
        <v>9939</v>
      </c>
      <c r="B550" t="s">
        <v>16</v>
      </c>
      <c r="C550" s="2" t="s">
        <v>8336</v>
      </c>
      <c r="D550" t="s">
        <v>4064</v>
      </c>
      <c r="E550" t="s">
        <v>4063</v>
      </c>
      <c r="H550" t="s">
        <v>4068</v>
      </c>
      <c r="K550" t="s">
        <v>470</v>
      </c>
      <c r="M550" t="str">
        <f>"00029432"</f>
        <v>00029432</v>
      </c>
      <c r="N550" s="2" t="str">
        <f>"20070401"</f>
        <v>20070401</v>
      </c>
      <c r="O550">
        <v>77</v>
      </c>
      <c r="P550">
        <v>2</v>
      </c>
      <c r="Q550">
        <v>199</v>
      </c>
      <c r="R550">
        <v>7</v>
      </c>
      <c r="S550" t="s">
        <v>4065</v>
      </c>
      <c r="T550" t="s">
        <v>4066</v>
      </c>
      <c r="U550" t="s">
        <v>183</v>
      </c>
      <c r="V550" t="s">
        <v>4067</v>
      </c>
      <c r="X550" t="s">
        <v>4069</v>
      </c>
      <c r="Y550" t="b">
        <f t="shared" si="8"/>
        <v>1</v>
      </c>
    </row>
    <row r="551" spans="1:25" hidden="1">
      <c r="A551" s="11" t="s">
        <v>9939</v>
      </c>
      <c r="B551" t="s">
        <v>16</v>
      </c>
      <c r="C551" s="2" t="s">
        <v>8343</v>
      </c>
      <c r="D551" t="s">
        <v>4071</v>
      </c>
      <c r="E551" t="s">
        <v>4070</v>
      </c>
      <c r="F551" s="20">
        <v>0</v>
      </c>
      <c r="G551" s="20" t="s">
        <v>9178</v>
      </c>
      <c r="H551" t="s">
        <v>4076</v>
      </c>
      <c r="K551" t="s">
        <v>4072</v>
      </c>
      <c r="M551" t="str">
        <f>"08964289"</f>
        <v>08964289</v>
      </c>
      <c r="N551" s="2" t="str">
        <f>"20171001"</f>
        <v>20171001</v>
      </c>
      <c r="O551">
        <v>43</v>
      </c>
      <c r="P551">
        <v>4</v>
      </c>
      <c r="Q551">
        <v>233</v>
      </c>
      <c r="R551">
        <v>9</v>
      </c>
      <c r="S551" t="s">
        <v>4073</v>
      </c>
      <c r="T551" t="s">
        <v>4074</v>
      </c>
      <c r="U551" t="s">
        <v>87</v>
      </c>
      <c r="V551" t="s">
        <v>4075</v>
      </c>
      <c r="X551" t="s">
        <v>4077</v>
      </c>
      <c r="Y551" t="b">
        <f t="shared" si="8"/>
        <v>0</v>
      </c>
    </row>
    <row r="552" spans="1:25" hidden="1">
      <c r="A552" s="11" t="s">
        <v>9939</v>
      </c>
      <c r="B552" t="s">
        <v>69</v>
      </c>
      <c r="C552" s="2" t="s">
        <v>8346</v>
      </c>
      <c r="D552" t="s">
        <v>4079</v>
      </c>
      <c r="E552" t="s">
        <v>4078</v>
      </c>
      <c r="H552" t="s">
        <v>4082</v>
      </c>
      <c r="K552" t="s">
        <v>65</v>
      </c>
      <c r="L552" t="str">
        <f>"9781124219356"</f>
        <v>9781124219356</v>
      </c>
      <c r="M552" t="str">
        <f>"04194209"</f>
        <v>04194209</v>
      </c>
      <c r="N552" s="2" t="str">
        <f>"20110101"</f>
        <v>20110101</v>
      </c>
      <c r="O552">
        <v>71</v>
      </c>
      <c r="P552" t="s">
        <v>627</v>
      </c>
      <c r="Q552">
        <v>3795</v>
      </c>
      <c r="R552">
        <v>1</v>
      </c>
      <c r="S552" t="s">
        <v>4080</v>
      </c>
      <c r="U552" t="s">
        <v>68</v>
      </c>
      <c r="V552" t="s">
        <v>4081</v>
      </c>
      <c r="X552" t="s">
        <v>4083</v>
      </c>
      <c r="Y552" t="b">
        <f t="shared" si="8"/>
        <v>1</v>
      </c>
    </row>
    <row r="553" spans="1:25">
      <c r="A553" s="11" t="s">
        <v>9939</v>
      </c>
      <c r="B553" t="s">
        <v>16</v>
      </c>
      <c r="C553" s="2" t="s">
        <v>8347</v>
      </c>
      <c r="D553" t="s">
        <v>4085</v>
      </c>
      <c r="E553" t="s">
        <v>4084</v>
      </c>
      <c r="F553" s="20">
        <v>1</v>
      </c>
      <c r="H553" t="s">
        <v>4090</v>
      </c>
      <c r="I553">
        <v>0</v>
      </c>
      <c r="J553" t="s">
        <v>9249</v>
      </c>
      <c r="K553" t="s">
        <v>4086</v>
      </c>
      <c r="M553" t="str">
        <f>"13672223"</f>
        <v>13672223</v>
      </c>
      <c r="N553" s="2" t="str">
        <f>"20080601"</f>
        <v>20080601</v>
      </c>
      <c r="O553">
        <v>11</v>
      </c>
      <c r="P553">
        <v>2</v>
      </c>
      <c r="Q553">
        <v>127</v>
      </c>
      <c r="R553">
        <v>14</v>
      </c>
      <c r="S553" t="s">
        <v>4087</v>
      </c>
      <c r="T553" t="s">
        <v>4088</v>
      </c>
      <c r="U553" t="s">
        <v>730</v>
      </c>
      <c r="V553" t="s">
        <v>4089</v>
      </c>
      <c r="X553" t="s">
        <v>4091</v>
      </c>
      <c r="Y553" t="b">
        <f t="shared" si="8"/>
        <v>0</v>
      </c>
    </row>
    <row r="554" spans="1:25">
      <c r="A554" s="11" t="s">
        <v>9939</v>
      </c>
      <c r="B554" t="s">
        <v>16</v>
      </c>
      <c r="C554" s="2" t="s">
        <v>8346</v>
      </c>
      <c r="D554" t="s">
        <v>4093</v>
      </c>
      <c r="E554" t="s">
        <v>4092</v>
      </c>
      <c r="F554" s="20">
        <v>1</v>
      </c>
      <c r="H554" t="s">
        <v>4097</v>
      </c>
      <c r="I554">
        <v>1</v>
      </c>
      <c r="K554" t="s">
        <v>276</v>
      </c>
      <c r="M554" t="str">
        <f>"10927875"</f>
        <v>10927875</v>
      </c>
      <c r="N554" s="2" t="str">
        <f>"20111001"</f>
        <v>20111001</v>
      </c>
      <c r="O554">
        <v>15</v>
      </c>
      <c r="P554">
        <v>7</v>
      </c>
      <c r="Q554">
        <v>1076</v>
      </c>
      <c r="R554">
        <v>5</v>
      </c>
      <c r="S554" t="s">
        <v>4094</v>
      </c>
      <c r="T554" t="s">
        <v>4095</v>
      </c>
      <c r="U554" t="s">
        <v>42</v>
      </c>
      <c r="V554" t="s">
        <v>4096</v>
      </c>
      <c r="X554" t="s">
        <v>4098</v>
      </c>
      <c r="Y554" t="b">
        <f t="shared" si="8"/>
        <v>0</v>
      </c>
    </row>
    <row r="555" spans="1:25" hidden="1">
      <c r="A555" s="11" t="s">
        <v>9939</v>
      </c>
      <c r="B555" t="s">
        <v>16</v>
      </c>
      <c r="C555" s="2" t="s">
        <v>8353</v>
      </c>
      <c r="D555" t="s">
        <v>4100</v>
      </c>
      <c r="E555" t="s">
        <v>4099</v>
      </c>
      <c r="F555" s="20">
        <v>0</v>
      </c>
      <c r="G555" s="20" t="s">
        <v>9178</v>
      </c>
      <c r="H555" t="s">
        <v>4105</v>
      </c>
      <c r="K555" t="s">
        <v>4101</v>
      </c>
      <c r="M555" t="str">
        <f>"02654075"</f>
        <v>02654075</v>
      </c>
      <c r="N555" s="2" t="str">
        <f>"20160601"</f>
        <v>20160601</v>
      </c>
      <c r="O555">
        <v>33</v>
      </c>
      <c r="P555">
        <v>4</v>
      </c>
      <c r="Q555">
        <v>469</v>
      </c>
      <c r="R555">
        <v>24</v>
      </c>
      <c r="S555" t="s">
        <v>4102</v>
      </c>
      <c r="T555" t="s">
        <v>4103</v>
      </c>
      <c r="U555" t="s">
        <v>15</v>
      </c>
      <c r="V555" t="s">
        <v>4104</v>
      </c>
      <c r="X555" t="s">
        <v>4106</v>
      </c>
      <c r="Y555" t="b">
        <f t="shared" si="8"/>
        <v>0</v>
      </c>
    </row>
    <row r="556" spans="1:25">
      <c r="A556" s="11" t="s">
        <v>9939</v>
      </c>
      <c r="B556" t="s">
        <v>16</v>
      </c>
      <c r="C556" s="2" t="s">
        <v>8339</v>
      </c>
      <c r="D556" t="s">
        <v>4108</v>
      </c>
      <c r="E556" t="s">
        <v>4107</v>
      </c>
      <c r="F556" s="20">
        <v>1</v>
      </c>
      <c r="G556" s="20"/>
      <c r="H556" t="s">
        <v>4112</v>
      </c>
      <c r="I556">
        <v>1</v>
      </c>
      <c r="K556" t="s">
        <v>260</v>
      </c>
      <c r="M556" t="str">
        <f>"07399332"</f>
        <v>07399332</v>
      </c>
      <c r="N556" s="2" t="str">
        <f>"20150401"</f>
        <v>20150401</v>
      </c>
      <c r="O556">
        <v>36</v>
      </c>
      <c r="P556">
        <v>4</v>
      </c>
      <c r="Q556">
        <v>439</v>
      </c>
      <c r="R556">
        <v>18</v>
      </c>
      <c r="S556" t="s">
        <v>4109</v>
      </c>
      <c r="T556" t="s">
        <v>4110</v>
      </c>
      <c r="U556" t="s">
        <v>87</v>
      </c>
      <c r="V556" t="s">
        <v>4111</v>
      </c>
      <c r="X556" t="s">
        <v>4113</v>
      </c>
      <c r="Y556" t="b">
        <f t="shared" si="8"/>
        <v>0</v>
      </c>
    </row>
    <row r="557" spans="1:25">
      <c r="A557" s="11" t="s">
        <v>9939</v>
      </c>
      <c r="B557" t="s">
        <v>69</v>
      </c>
      <c r="C557" s="2" t="s">
        <v>8342</v>
      </c>
      <c r="D557" t="s">
        <v>4115</v>
      </c>
      <c r="E557" t="s">
        <v>4114</v>
      </c>
      <c r="F557" s="20">
        <v>1</v>
      </c>
      <c r="H557" t="s">
        <v>4118</v>
      </c>
      <c r="I557">
        <v>1</v>
      </c>
      <c r="K557" t="s">
        <v>101</v>
      </c>
      <c r="L557" t="str">
        <f>"9781124920139"</f>
        <v>9781124920139</v>
      </c>
      <c r="M557" t="str">
        <f>"04194217"</f>
        <v>04194217</v>
      </c>
      <c r="N557" s="2" t="str">
        <f>"20120101"</f>
        <v>20120101</v>
      </c>
      <c r="O557">
        <v>72</v>
      </c>
      <c r="P557" t="s">
        <v>613</v>
      </c>
      <c r="Q557">
        <v>7676</v>
      </c>
      <c r="R557">
        <v>1</v>
      </c>
      <c r="S557" t="s">
        <v>4116</v>
      </c>
      <c r="U557" t="s">
        <v>68</v>
      </c>
      <c r="V557" t="s">
        <v>4117</v>
      </c>
      <c r="X557" t="s">
        <v>4119</v>
      </c>
      <c r="Y557" t="b">
        <f t="shared" si="8"/>
        <v>0</v>
      </c>
    </row>
    <row r="558" spans="1:25">
      <c r="A558" s="11" t="s">
        <v>9939</v>
      </c>
      <c r="B558" t="s">
        <v>16</v>
      </c>
      <c r="C558" s="2" t="s">
        <v>8348</v>
      </c>
      <c r="D558" t="s">
        <v>4121</v>
      </c>
      <c r="E558" t="s">
        <v>4120</v>
      </c>
      <c r="F558" s="20">
        <v>1</v>
      </c>
      <c r="H558" t="s">
        <v>4126</v>
      </c>
      <c r="I558">
        <v>1</v>
      </c>
      <c r="K558" t="s">
        <v>4122</v>
      </c>
      <c r="M558" t="str">
        <f>"03600025"</f>
        <v>03600025</v>
      </c>
      <c r="N558" s="2" t="str">
        <f>"20051201"</f>
        <v>20051201</v>
      </c>
      <c r="O558">
        <v>53</v>
      </c>
      <c r="P558" s="1">
        <v>44541</v>
      </c>
      <c r="Q558" s="1">
        <v>847</v>
      </c>
      <c r="R558">
        <v>17</v>
      </c>
      <c r="S558" t="s">
        <v>4123</v>
      </c>
      <c r="T558" t="s">
        <v>4124</v>
      </c>
      <c r="U558" t="s">
        <v>42</v>
      </c>
      <c r="V558" t="s">
        <v>4125</v>
      </c>
      <c r="X558" t="s">
        <v>4127</v>
      </c>
      <c r="Y558" t="b">
        <f t="shared" si="8"/>
        <v>0</v>
      </c>
    </row>
    <row r="559" spans="1:25">
      <c r="A559" s="11" t="s">
        <v>9939</v>
      </c>
      <c r="B559" t="s">
        <v>16</v>
      </c>
      <c r="C559" s="2" t="s">
        <v>8342</v>
      </c>
      <c r="D559" t="s">
        <v>4129</v>
      </c>
      <c r="E559" t="s">
        <v>4128</v>
      </c>
      <c r="F559" s="20">
        <v>1</v>
      </c>
      <c r="H559" t="s">
        <v>4134</v>
      </c>
      <c r="I559">
        <v>1</v>
      </c>
      <c r="K559" t="s">
        <v>4130</v>
      </c>
      <c r="M559" t="str">
        <f>"13311441"</f>
        <v>13311441</v>
      </c>
      <c r="N559" s="2" t="str">
        <f>"20120101"</f>
        <v>20120101</v>
      </c>
      <c r="O559">
        <v>44</v>
      </c>
      <c r="P559">
        <v>1</v>
      </c>
      <c r="Q559">
        <v>83</v>
      </c>
      <c r="R559">
        <v>11</v>
      </c>
      <c r="S559" t="s">
        <v>4131</v>
      </c>
      <c r="U559" t="s">
        <v>4132</v>
      </c>
      <c r="V559" t="s">
        <v>4133</v>
      </c>
      <c r="X559" t="s">
        <v>4135</v>
      </c>
      <c r="Y559" t="b">
        <f t="shared" si="8"/>
        <v>0</v>
      </c>
    </row>
    <row r="560" spans="1:25" hidden="1">
      <c r="A560" s="11" t="s">
        <v>9939</v>
      </c>
      <c r="B560" t="s">
        <v>395</v>
      </c>
      <c r="C560" s="2" t="s">
        <v>8337</v>
      </c>
      <c r="D560" t="s">
        <v>4137</v>
      </c>
      <c r="E560" t="s">
        <v>4136</v>
      </c>
      <c r="F560" s="20">
        <v>0</v>
      </c>
      <c r="G560" s="20" t="s">
        <v>9178</v>
      </c>
      <c r="H560" t="s">
        <v>4142</v>
      </c>
      <c r="K560" t="s">
        <v>4138</v>
      </c>
      <c r="L560" t="str">
        <f>"9780871544988; 9781610448048"</f>
        <v>9780871544988; 9781610448048</v>
      </c>
      <c r="N560" s="2" t="str">
        <f>"20130101"</f>
        <v>20130101</v>
      </c>
      <c r="Q560">
        <v>98</v>
      </c>
      <c r="R560">
        <v>37</v>
      </c>
      <c r="S560" t="s">
        <v>4139</v>
      </c>
      <c r="U560" t="s">
        <v>4140</v>
      </c>
      <c r="V560" t="s">
        <v>4141</v>
      </c>
      <c r="X560" t="s">
        <v>4143</v>
      </c>
      <c r="Y560" t="b">
        <f t="shared" si="8"/>
        <v>0</v>
      </c>
    </row>
    <row r="561" spans="1:25">
      <c r="A561" s="11" t="s">
        <v>9939</v>
      </c>
      <c r="B561" t="s">
        <v>16</v>
      </c>
      <c r="C561" s="2" t="s">
        <v>8336</v>
      </c>
      <c r="D561" t="s">
        <v>4145</v>
      </c>
      <c r="E561" t="s">
        <v>4144</v>
      </c>
      <c r="F561" s="20">
        <v>1</v>
      </c>
      <c r="H561" t="s">
        <v>4150</v>
      </c>
      <c r="I561">
        <v>1</v>
      </c>
      <c r="K561" t="s">
        <v>4146</v>
      </c>
      <c r="M561" t="str">
        <f>"17450179"</f>
        <v>17450179</v>
      </c>
      <c r="N561" s="2" t="str">
        <f>"20071001"</f>
        <v>20071001</v>
      </c>
      <c r="O561">
        <v>3</v>
      </c>
      <c r="S561" t="s">
        <v>4147</v>
      </c>
      <c r="T561" t="s">
        <v>4148</v>
      </c>
      <c r="U561" t="s">
        <v>563</v>
      </c>
      <c r="V561" t="s">
        <v>4149</v>
      </c>
      <c r="X561" t="s">
        <v>4151</v>
      </c>
      <c r="Y561" t="b">
        <f t="shared" si="8"/>
        <v>0</v>
      </c>
    </row>
    <row r="562" spans="1:25" hidden="1">
      <c r="A562" s="11" t="s">
        <v>9939</v>
      </c>
      <c r="B562" t="s">
        <v>395</v>
      </c>
      <c r="C562" s="2" t="s">
        <v>8341</v>
      </c>
      <c r="D562" t="s">
        <v>4153</v>
      </c>
      <c r="E562" t="s">
        <v>4152</v>
      </c>
      <c r="H562" t="s">
        <v>4159</v>
      </c>
      <c r="K562" t="s">
        <v>4154</v>
      </c>
      <c r="L562" t="str">
        <f>"9781848440951; 9781848447219"</f>
        <v>9781848440951; 9781848447219</v>
      </c>
      <c r="N562" s="2" t="str">
        <f>"20090101"</f>
        <v>20090101</v>
      </c>
      <c r="Q562">
        <v>311</v>
      </c>
      <c r="R562">
        <v>17</v>
      </c>
      <c r="S562" t="s">
        <v>4155</v>
      </c>
      <c r="T562" t="s">
        <v>4156</v>
      </c>
      <c r="U562" t="s">
        <v>4157</v>
      </c>
      <c r="V562" t="s">
        <v>4158</v>
      </c>
      <c r="X562" t="s">
        <v>4160</v>
      </c>
      <c r="Y562" t="b">
        <f t="shared" si="8"/>
        <v>1</v>
      </c>
    </row>
    <row r="563" spans="1:25">
      <c r="A563" s="11" t="s">
        <v>9939</v>
      </c>
      <c r="B563" t="s">
        <v>16</v>
      </c>
      <c r="C563" s="2" t="s">
        <v>8343</v>
      </c>
      <c r="D563" t="s">
        <v>4162</v>
      </c>
      <c r="E563" t="s">
        <v>4161</v>
      </c>
      <c r="F563" s="20">
        <v>1</v>
      </c>
      <c r="H563" t="s">
        <v>4166</v>
      </c>
      <c r="I563">
        <v>1</v>
      </c>
      <c r="J563" t="s">
        <v>9952</v>
      </c>
      <c r="K563" t="s">
        <v>221</v>
      </c>
      <c r="M563" t="str">
        <f>"00904392"</f>
        <v>00904392</v>
      </c>
      <c r="N563" s="2" t="str">
        <f>"20171101"</f>
        <v>20171101</v>
      </c>
      <c r="O563">
        <v>45</v>
      </c>
      <c r="P563">
        <v>8</v>
      </c>
      <c r="Q563">
        <v>984</v>
      </c>
      <c r="R563">
        <v>15</v>
      </c>
      <c r="S563" t="s">
        <v>4163</v>
      </c>
      <c r="T563" t="s">
        <v>4164</v>
      </c>
      <c r="U563" t="s">
        <v>224</v>
      </c>
      <c r="V563" t="s">
        <v>4165</v>
      </c>
      <c r="X563" t="s">
        <v>4167</v>
      </c>
      <c r="Y563" t="b">
        <f t="shared" si="8"/>
        <v>0</v>
      </c>
    </row>
    <row r="564" spans="1:25">
      <c r="A564" s="11" t="s">
        <v>9939</v>
      </c>
      <c r="B564" t="s">
        <v>16</v>
      </c>
      <c r="C564" s="2" t="s">
        <v>8344</v>
      </c>
      <c r="D564" t="s">
        <v>4169</v>
      </c>
      <c r="E564" t="s">
        <v>4168</v>
      </c>
      <c r="F564" s="20">
        <v>1</v>
      </c>
      <c r="H564" t="s">
        <v>4173</v>
      </c>
      <c r="I564">
        <v>1</v>
      </c>
      <c r="K564" t="s">
        <v>1168</v>
      </c>
      <c r="M564" t="str">
        <f>"19481985"</f>
        <v>19481985</v>
      </c>
      <c r="N564" s="2" t="str">
        <f>"20100601"</f>
        <v>20100601</v>
      </c>
      <c r="O564">
        <v>1</v>
      </c>
      <c r="P564">
        <v>2</v>
      </c>
      <c r="Q564">
        <v>93</v>
      </c>
      <c r="R564">
        <v>13</v>
      </c>
      <c r="S564" t="s">
        <v>4170</v>
      </c>
      <c r="T564" t="s">
        <v>4171</v>
      </c>
      <c r="U564" t="s">
        <v>183</v>
      </c>
      <c r="V564" t="s">
        <v>4172</v>
      </c>
      <c r="X564" t="s">
        <v>4174</v>
      </c>
      <c r="Y564" t="b">
        <f t="shared" si="8"/>
        <v>0</v>
      </c>
    </row>
    <row r="565" spans="1:25">
      <c r="A565" s="11" t="s">
        <v>9939</v>
      </c>
      <c r="B565" t="s">
        <v>16</v>
      </c>
      <c r="C565" s="2" t="s">
        <v>8342</v>
      </c>
      <c r="D565" t="s">
        <v>4176</v>
      </c>
      <c r="E565" t="s">
        <v>4175</v>
      </c>
      <c r="F565" s="20">
        <v>1</v>
      </c>
      <c r="H565" t="s">
        <v>4181</v>
      </c>
      <c r="I565">
        <v>0</v>
      </c>
      <c r="J565" t="s">
        <v>9245</v>
      </c>
      <c r="K565" t="s">
        <v>4177</v>
      </c>
      <c r="M565" t="str">
        <f>"03623319"</f>
        <v>03623319</v>
      </c>
      <c r="N565" s="2" t="str">
        <f>"20120901"</f>
        <v>20120901</v>
      </c>
      <c r="O565">
        <v>49</v>
      </c>
      <c r="P565">
        <v>3</v>
      </c>
      <c r="Q565">
        <v>325</v>
      </c>
      <c r="R565">
        <v>5</v>
      </c>
      <c r="S565" t="s">
        <v>4178</v>
      </c>
      <c r="T565" t="s">
        <v>4179</v>
      </c>
      <c r="U565" t="s">
        <v>34</v>
      </c>
      <c r="V565" t="s">
        <v>4180</v>
      </c>
      <c r="X565" t="s">
        <v>4182</v>
      </c>
      <c r="Y565" t="b">
        <f t="shared" si="8"/>
        <v>0</v>
      </c>
    </row>
    <row r="566" spans="1:25" hidden="1">
      <c r="A566" s="11" t="s">
        <v>9939</v>
      </c>
      <c r="B566" t="s">
        <v>69</v>
      </c>
      <c r="C566" s="2" t="s">
        <v>8339</v>
      </c>
      <c r="D566" t="s">
        <v>4184</v>
      </c>
      <c r="E566" t="s">
        <v>4183</v>
      </c>
      <c r="F566" s="20">
        <v>0</v>
      </c>
      <c r="G566" s="20" t="s">
        <v>9178</v>
      </c>
      <c r="H566" t="s">
        <v>4187</v>
      </c>
      <c r="K566" t="s">
        <v>65</v>
      </c>
      <c r="L566" t="str">
        <f>"9781321263206"</f>
        <v>9781321263206</v>
      </c>
      <c r="M566" t="str">
        <f>"04194209"</f>
        <v>04194209</v>
      </c>
      <c r="N566" s="2" t="str">
        <f>"20150101"</f>
        <v>20150101</v>
      </c>
      <c r="O566">
        <v>76</v>
      </c>
      <c r="P566" t="s">
        <v>1430</v>
      </c>
      <c r="S566" t="s">
        <v>4185</v>
      </c>
      <c r="U566" t="s">
        <v>68</v>
      </c>
      <c r="V566" t="s">
        <v>4186</v>
      </c>
      <c r="X566" t="s">
        <v>4188</v>
      </c>
      <c r="Y566" t="b">
        <f t="shared" si="8"/>
        <v>0</v>
      </c>
    </row>
    <row r="567" spans="1:25" hidden="1">
      <c r="A567" s="11" t="s">
        <v>9939</v>
      </c>
      <c r="B567" t="s">
        <v>16</v>
      </c>
      <c r="C567" s="2" t="s">
        <v>8352</v>
      </c>
      <c r="D567" t="s">
        <v>4190</v>
      </c>
      <c r="E567" t="s">
        <v>4189</v>
      </c>
      <c r="H567" t="s">
        <v>4195</v>
      </c>
      <c r="K567" t="s">
        <v>4191</v>
      </c>
      <c r="M567" t="str">
        <f>"10887423"</f>
        <v>10887423</v>
      </c>
      <c r="N567" s="2" t="str">
        <f>"20030101"</f>
        <v>20030101</v>
      </c>
      <c r="O567">
        <v>8</v>
      </c>
      <c r="P567">
        <v>21</v>
      </c>
      <c r="S567" t="s">
        <v>4192</v>
      </c>
      <c r="U567" t="s">
        <v>4193</v>
      </c>
      <c r="V567" t="s">
        <v>4194</v>
      </c>
      <c r="X567" t="s">
        <v>4196</v>
      </c>
      <c r="Y567" t="b">
        <f t="shared" si="8"/>
        <v>1</v>
      </c>
    </row>
    <row r="568" spans="1:25" hidden="1">
      <c r="A568" s="11" t="s">
        <v>9939</v>
      </c>
      <c r="B568" t="s">
        <v>16</v>
      </c>
      <c r="C568" s="2" t="s">
        <v>8346</v>
      </c>
      <c r="D568" t="s">
        <v>4198</v>
      </c>
      <c r="E568" t="s">
        <v>4197</v>
      </c>
      <c r="H568" t="s">
        <v>4202</v>
      </c>
      <c r="K568" t="s">
        <v>132</v>
      </c>
      <c r="M568" t="str">
        <f>"01471767"</f>
        <v>01471767</v>
      </c>
      <c r="N568" s="2" t="str">
        <f>"20110101"</f>
        <v>20110101</v>
      </c>
      <c r="O568">
        <v>35</v>
      </c>
      <c r="P568">
        <v>1</v>
      </c>
      <c r="Q568">
        <v>9</v>
      </c>
      <c r="R568">
        <v>8</v>
      </c>
      <c r="S568" t="s">
        <v>4199</v>
      </c>
      <c r="T568" t="s">
        <v>4200</v>
      </c>
      <c r="U568" t="s">
        <v>34</v>
      </c>
      <c r="V568" t="s">
        <v>4201</v>
      </c>
      <c r="X568" t="s">
        <v>4203</v>
      </c>
      <c r="Y568" t="b">
        <f t="shared" si="8"/>
        <v>1</v>
      </c>
    </row>
    <row r="569" spans="1:25">
      <c r="A569" s="11" t="s">
        <v>9939</v>
      </c>
      <c r="B569" t="s">
        <v>69</v>
      </c>
      <c r="C569" s="2" t="s">
        <v>8345</v>
      </c>
      <c r="D569" t="s">
        <v>4205</v>
      </c>
      <c r="E569" t="s">
        <v>4204</v>
      </c>
      <c r="F569" s="20">
        <v>1</v>
      </c>
      <c r="H569" t="s">
        <v>4208</v>
      </c>
      <c r="I569">
        <v>1</v>
      </c>
      <c r="K569" t="s">
        <v>101</v>
      </c>
      <c r="L569" t="str">
        <f>"9798645485290"</f>
        <v>9798645485290</v>
      </c>
      <c r="M569" t="str">
        <f>"04194217"</f>
        <v>04194217</v>
      </c>
      <c r="N569" s="2" t="str">
        <f>"20200101"</f>
        <v>20200101</v>
      </c>
      <c r="O569">
        <v>81</v>
      </c>
      <c r="P569" t="s">
        <v>613</v>
      </c>
      <c r="S569" t="s">
        <v>4206</v>
      </c>
      <c r="U569" t="s">
        <v>68</v>
      </c>
      <c r="V569" t="s">
        <v>4207</v>
      </c>
      <c r="X569" t="s">
        <v>4209</v>
      </c>
      <c r="Y569" t="b">
        <f t="shared" si="8"/>
        <v>0</v>
      </c>
    </row>
    <row r="570" spans="1:25" hidden="1">
      <c r="A570" s="11" t="s">
        <v>9939</v>
      </c>
      <c r="B570" t="s">
        <v>16</v>
      </c>
      <c r="C570" s="2" t="s">
        <v>8343</v>
      </c>
      <c r="D570" t="s">
        <v>4211</v>
      </c>
      <c r="E570" t="s">
        <v>4210</v>
      </c>
      <c r="F570" s="20">
        <v>0</v>
      </c>
      <c r="G570" t="s">
        <v>9249</v>
      </c>
      <c r="H570" t="s">
        <v>4214</v>
      </c>
      <c r="K570" t="s">
        <v>2180</v>
      </c>
      <c r="M570" t="str">
        <f>"09337954"</f>
        <v>09337954</v>
      </c>
      <c r="N570" s="2" t="str">
        <f>"20170401"</f>
        <v>20170401</v>
      </c>
      <c r="O570">
        <v>52</v>
      </c>
      <c r="P570">
        <v>4</v>
      </c>
      <c r="Q570">
        <v>391</v>
      </c>
      <c r="R570">
        <v>8</v>
      </c>
      <c r="S570" t="s">
        <v>4212</v>
      </c>
      <c r="U570" t="s">
        <v>42</v>
      </c>
      <c r="V570" t="s">
        <v>4213</v>
      </c>
      <c r="X570" t="s">
        <v>4215</v>
      </c>
      <c r="Y570" t="b">
        <f t="shared" si="8"/>
        <v>0</v>
      </c>
    </row>
    <row r="571" spans="1:25">
      <c r="A571" s="11" t="s">
        <v>9939</v>
      </c>
      <c r="B571" t="s">
        <v>16</v>
      </c>
      <c r="C571" s="2" t="s">
        <v>8340</v>
      </c>
      <c r="D571" t="s">
        <v>4217</v>
      </c>
      <c r="E571" t="s">
        <v>4216</v>
      </c>
      <c r="F571" s="20">
        <v>1</v>
      </c>
      <c r="H571" t="s">
        <v>4221</v>
      </c>
      <c r="I571">
        <v>0</v>
      </c>
      <c r="J571" t="s">
        <v>9249</v>
      </c>
      <c r="K571" t="s">
        <v>1331</v>
      </c>
      <c r="M571" t="str">
        <f>"0992986X"</f>
        <v>0992986X</v>
      </c>
      <c r="N571" s="2" t="str">
        <f>"20180420"</f>
        <v>20180420</v>
      </c>
      <c r="O571">
        <v>31</v>
      </c>
      <c r="P571">
        <v>1</v>
      </c>
      <c r="S571" t="s">
        <v>4218</v>
      </c>
      <c r="T571" t="s">
        <v>4219</v>
      </c>
      <c r="U571" t="s">
        <v>1333</v>
      </c>
      <c r="V571" t="s">
        <v>4220</v>
      </c>
      <c r="X571" t="s">
        <v>4222</v>
      </c>
      <c r="Y571" t="b">
        <f t="shared" si="8"/>
        <v>0</v>
      </c>
    </row>
    <row r="572" spans="1:25">
      <c r="A572" s="11" t="s">
        <v>9939</v>
      </c>
      <c r="B572" t="s">
        <v>16</v>
      </c>
      <c r="C572" s="2" t="s">
        <v>8347</v>
      </c>
      <c r="D572" t="s">
        <v>4224</v>
      </c>
      <c r="E572" t="s">
        <v>4223</v>
      </c>
      <c r="F572" s="20">
        <v>1</v>
      </c>
      <c r="H572" t="s">
        <v>4228</v>
      </c>
      <c r="I572">
        <v>1</v>
      </c>
      <c r="K572" t="s">
        <v>3175</v>
      </c>
      <c r="M572" t="str">
        <f>"14622203"</f>
        <v>14622203</v>
      </c>
      <c r="N572" s="2" t="str">
        <f>"20080401"</f>
        <v>20080401</v>
      </c>
      <c r="O572">
        <v>10</v>
      </c>
      <c r="P572">
        <v>4</v>
      </c>
      <c r="Q572">
        <v>579</v>
      </c>
      <c r="R572">
        <v>9</v>
      </c>
      <c r="S572" t="s">
        <v>4225</v>
      </c>
      <c r="T572" t="s">
        <v>4226</v>
      </c>
      <c r="U572" t="s">
        <v>87</v>
      </c>
      <c r="V572" t="s">
        <v>4227</v>
      </c>
      <c r="X572" t="s">
        <v>4229</v>
      </c>
      <c r="Y572" t="b">
        <f t="shared" si="8"/>
        <v>0</v>
      </c>
    </row>
    <row r="573" spans="1:25" hidden="1">
      <c r="A573" s="11" t="s">
        <v>9939</v>
      </c>
      <c r="B573" t="s">
        <v>16</v>
      </c>
      <c r="C573" s="2" t="s">
        <v>8347</v>
      </c>
      <c r="D573" t="s">
        <v>4231</v>
      </c>
      <c r="E573" t="s">
        <v>4230</v>
      </c>
      <c r="F573" s="20">
        <v>0</v>
      </c>
      <c r="G573" t="s">
        <v>9237</v>
      </c>
      <c r="H573" t="s">
        <v>4236</v>
      </c>
      <c r="K573" t="s">
        <v>4232</v>
      </c>
      <c r="M573" t="str">
        <f>"10873244"</f>
        <v>10873244</v>
      </c>
      <c r="N573" s="2" t="str">
        <f>"20080301"</f>
        <v>20080301</v>
      </c>
      <c r="O573">
        <v>32</v>
      </c>
      <c r="P573">
        <v>2</v>
      </c>
      <c r="Q573">
        <v>188</v>
      </c>
      <c r="R573">
        <v>13</v>
      </c>
      <c r="S573" t="s">
        <v>4233</v>
      </c>
      <c r="T573" t="s">
        <v>4234</v>
      </c>
      <c r="U573" t="s">
        <v>4232</v>
      </c>
      <c r="V573" t="s">
        <v>4235</v>
      </c>
      <c r="X573" t="s">
        <v>4237</v>
      </c>
      <c r="Y573" t="b">
        <f t="shared" si="8"/>
        <v>0</v>
      </c>
    </row>
    <row r="574" spans="1:25">
      <c r="A574" s="11" t="s">
        <v>9939</v>
      </c>
      <c r="B574" t="s">
        <v>16</v>
      </c>
      <c r="C574" s="2" t="s">
        <v>8341</v>
      </c>
      <c r="D574" t="s">
        <v>4239</v>
      </c>
      <c r="E574" t="s">
        <v>4238</v>
      </c>
      <c r="F574" s="20">
        <v>1</v>
      </c>
      <c r="H574" t="s">
        <v>4243</v>
      </c>
      <c r="I574">
        <v>1</v>
      </c>
      <c r="K574" t="s">
        <v>40</v>
      </c>
      <c r="M574" t="str">
        <f>"15571912"</f>
        <v>15571912</v>
      </c>
      <c r="N574" s="2" t="str">
        <f>"20090601"</f>
        <v>20090601</v>
      </c>
      <c r="O574">
        <v>11</v>
      </c>
      <c r="P574">
        <v>3</v>
      </c>
      <c r="Q574">
        <v>188</v>
      </c>
      <c r="R574">
        <v>10</v>
      </c>
      <c r="S574" t="s">
        <v>4240</v>
      </c>
      <c r="T574" t="s">
        <v>4241</v>
      </c>
      <c r="U574" t="s">
        <v>42</v>
      </c>
      <c r="V574" t="s">
        <v>4242</v>
      </c>
      <c r="X574" t="s">
        <v>4244</v>
      </c>
      <c r="Y574" t="b">
        <f t="shared" si="8"/>
        <v>0</v>
      </c>
    </row>
    <row r="575" spans="1:25" hidden="1">
      <c r="A575" s="11" t="s">
        <v>9939</v>
      </c>
      <c r="B575" t="s">
        <v>16</v>
      </c>
      <c r="C575" s="2" t="s">
        <v>8341</v>
      </c>
      <c r="D575" t="s">
        <v>4246</v>
      </c>
      <c r="E575" t="s">
        <v>4245</v>
      </c>
      <c r="F575" s="20">
        <v>0</v>
      </c>
      <c r="G575" t="s">
        <v>9237</v>
      </c>
      <c r="H575" t="s">
        <v>4251</v>
      </c>
      <c r="K575" t="s">
        <v>4247</v>
      </c>
      <c r="M575" t="str">
        <f>"07908318"</f>
        <v>07908318</v>
      </c>
      <c r="N575" s="2" t="str">
        <f>"20091101"</f>
        <v>20091101</v>
      </c>
      <c r="O575">
        <v>22</v>
      </c>
      <c r="P575">
        <v>3</v>
      </c>
      <c r="Q575">
        <v>175</v>
      </c>
      <c r="R575">
        <v>20</v>
      </c>
      <c r="S575" t="s">
        <v>4248</v>
      </c>
      <c r="T575" t="s">
        <v>4249</v>
      </c>
      <c r="U575" t="s">
        <v>87</v>
      </c>
      <c r="V575" t="s">
        <v>4250</v>
      </c>
      <c r="X575" t="s">
        <v>4252</v>
      </c>
      <c r="Y575" t="b">
        <f t="shared" si="8"/>
        <v>0</v>
      </c>
    </row>
    <row r="576" spans="1:25">
      <c r="A576" s="11" t="s">
        <v>9939</v>
      </c>
      <c r="B576" t="s">
        <v>16</v>
      </c>
      <c r="C576" s="2" t="s">
        <v>8343</v>
      </c>
      <c r="D576" t="s">
        <v>4254</v>
      </c>
      <c r="E576" t="s">
        <v>4253</v>
      </c>
      <c r="F576" s="20">
        <v>1</v>
      </c>
      <c r="H576" t="s">
        <v>4259</v>
      </c>
      <c r="I576">
        <v>1</v>
      </c>
      <c r="K576" t="s">
        <v>4255</v>
      </c>
      <c r="M576" t="str">
        <f>"01461672"</f>
        <v>01461672</v>
      </c>
      <c r="N576" s="2" t="str">
        <f>"20170201"</f>
        <v>20170201</v>
      </c>
      <c r="O576">
        <v>43</v>
      </c>
      <c r="P576">
        <v>2</v>
      </c>
      <c r="Q576">
        <v>245</v>
      </c>
      <c r="R576">
        <v>14</v>
      </c>
      <c r="S576" t="s">
        <v>4256</v>
      </c>
      <c r="T576" t="s">
        <v>4257</v>
      </c>
      <c r="U576" t="s">
        <v>15</v>
      </c>
      <c r="V576" t="s">
        <v>4258</v>
      </c>
      <c r="X576" t="s">
        <v>4260</v>
      </c>
      <c r="Y576" t="b">
        <f t="shared" si="8"/>
        <v>0</v>
      </c>
    </row>
    <row r="577" spans="1:25">
      <c r="A577" s="11" t="s">
        <v>9939</v>
      </c>
      <c r="B577" t="s">
        <v>16</v>
      </c>
      <c r="C577" s="2" t="s">
        <v>8348</v>
      </c>
      <c r="D577" t="s">
        <v>4262</v>
      </c>
      <c r="E577" t="s">
        <v>4261</v>
      </c>
      <c r="F577" s="20">
        <v>1</v>
      </c>
      <c r="H577" t="s">
        <v>4266</v>
      </c>
      <c r="I577">
        <v>1</v>
      </c>
      <c r="K577" t="s">
        <v>485</v>
      </c>
      <c r="M577" t="str">
        <f>"10964045"</f>
        <v>10964045</v>
      </c>
      <c r="N577" s="2" t="str">
        <f>"20050401"</f>
        <v>20050401</v>
      </c>
      <c r="O577">
        <v>7</v>
      </c>
      <c r="P577">
        <v>2</v>
      </c>
      <c r="Q577">
        <v>65</v>
      </c>
      <c r="R577">
        <v>10</v>
      </c>
      <c r="S577" t="s">
        <v>4263</v>
      </c>
      <c r="T577" t="s">
        <v>4264</v>
      </c>
      <c r="U577" t="s">
        <v>42</v>
      </c>
      <c r="V577" t="s">
        <v>4265</v>
      </c>
      <c r="X577" t="s">
        <v>4267</v>
      </c>
      <c r="Y577" t="b">
        <f t="shared" si="8"/>
        <v>0</v>
      </c>
    </row>
    <row r="578" spans="1:25">
      <c r="A578" s="11" t="s">
        <v>9939</v>
      </c>
      <c r="B578" t="s">
        <v>16</v>
      </c>
      <c r="C578" s="2" t="s">
        <v>8343</v>
      </c>
      <c r="D578" t="s">
        <v>4269</v>
      </c>
      <c r="E578" t="s">
        <v>4268</v>
      </c>
      <c r="F578" s="20">
        <v>1</v>
      </c>
      <c r="H578" t="s">
        <v>4274</v>
      </c>
      <c r="I578">
        <v>0</v>
      </c>
      <c r="J578" t="s">
        <v>9178</v>
      </c>
      <c r="K578" t="s">
        <v>4270</v>
      </c>
      <c r="M578" t="str">
        <f>"1365893X"</f>
        <v>1365893X</v>
      </c>
      <c r="N578" s="2" t="str">
        <f>"20170405"</f>
        <v>20170405</v>
      </c>
      <c r="O578">
        <v>2017</v>
      </c>
      <c r="P578">
        <v>1</v>
      </c>
      <c r="S578" t="s">
        <v>4271</v>
      </c>
      <c r="T578" t="s">
        <v>4272</v>
      </c>
      <c r="U578" t="s">
        <v>4270</v>
      </c>
      <c r="V578" t="s">
        <v>4273</v>
      </c>
      <c r="X578" t="s">
        <v>4275</v>
      </c>
      <c r="Y578" t="b">
        <f t="shared" ref="Y578:Y641" si="9">COUNTIF(X:X, X578)&gt;1</f>
        <v>0</v>
      </c>
    </row>
    <row r="579" spans="1:25">
      <c r="A579" s="11" t="s">
        <v>9939</v>
      </c>
      <c r="B579" t="s">
        <v>16</v>
      </c>
      <c r="C579" s="2" t="s">
        <v>8348</v>
      </c>
      <c r="D579" t="s">
        <v>4277</v>
      </c>
      <c r="E579" t="s">
        <v>4276</v>
      </c>
      <c r="F579" s="20">
        <v>1</v>
      </c>
      <c r="H579" t="s">
        <v>4281</v>
      </c>
      <c r="I579">
        <v>0</v>
      </c>
      <c r="J579" t="s">
        <v>9249</v>
      </c>
      <c r="K579" t="s">
        <v>322</v>
      </c>
      <c r="M579" t="str">
        <f>"03038300"</f>
        <v>03038300</v>
      </c>
      <c r="N579" s="2" t="str">
        <f>"20050101"</f>
        <v>20050101</v>
      </c>
      <c r="O579">
        <v>70</v>
      </c>
      <c r="P579">
        <v>2</v>
      </c>
      <c r="Q579">
        <v>117</v>
      </c>
      <c r="R579">
        <v>22</v>
      </c>
      <c r="S579" t="s">
        <v>4278</v>
      </c>
      <c r="T579" t="s">
        <v>4279</v>
      </c>
      <c r="U579" t="s">
        <v>42</v>
      </c>
      <c r="V579" t="s">
        <v>4280</v>
      </c>
      <c r="X579" t="s">
        <v>4282</v>
      </c>
      <c r="Y579" t="b">
        <f t="shared" si="9"/>
        <v>0</v>
      </c>
    </row>
    <row r="580" spans="1:25">
      <c r="A580" s="11" t="s">
        <v>9939</v>
      </c>
      <c r="B580" t="s">
        <v>16</v>
      </c>
      <c r="C580" s="2" t="s">
        <v>8340</v>
      </c>
      <c r="D580" t="s">
        <v>4284</v>
      </c>
      <c r="E580" t="s">
        <v>4283</v>
      </c>
      <c r="F580" s="20">
        <v>1</v>
      </c>
      <c r="H580" t="s">
        <v>4289</v>
      </c>
      <c r="I580">
        <v>1</v>
      </c>
      <c r="K580" t="s">
        <v>4285</v>
      </c>
      <c r="M580" t="str">
        <f>"00220027"</f>
        <v>00220027</v>
      </c>
      <c r="N580" s="2" t="str">
        <f>"20181001"</f>
        <v>20181001</v>
      </c>
      <c r="O580">
        <v>62</v>
      </c>
      <c r="P580">
        <v>9</v>
      </c>
      <c r="Q580">
        <v>2040</v>
      </c>
      <c r="R580">
        <v>28</v>
      </c>
      <c r="S580" t="s">
        <v>4286</v>
      </c>
      <c r="T580" t="s">
        <v>4287</v>
      </c>
      <c r="U580" t="s">
        <v>15</v>
      </c>
      <c r="V580" t="s">
        <v>4288</v>
      </c>
      <c r="X580" t="s">
        <v>4290</v>
      </c>
      <c r="Y580" t="b">
        <f t="shared" si="9"/>
        <v>0</v>
      </c>
    </row>
    <row r="581" spans="1:25">
      <c r="A581" s="11" t="s">
        <v>9939</v>
      </c>
      <c r="B581" t="s">
        <v>16</v>
      </c>
      <c r="C581" s="2" t="s">
        <v>8346</v>
      </c>
      <c r="D581" t="s">
        <v>4292</v>
      </c>
      <c r="E581" t="s">
        <v>4291</v>
      </c>
      <c r="F581" s="20">
        <v>1</v>
      </c>
      <c r="H581" t="s">
        <v>4296</v>
      </c>
      <c r="I581">
        <v>1</v>
      </c>
      <c r="J581" t="s">
        <v>9952</v>
      </c>
      <c r="K581" t="s">
        <v>933</v>
      </c>
      <c r="M581" t="str">
        <f>"00103853"</f>
        <v>00103853</v>
      </c>
      <c r="N581" s="2" t="str">
        <f>"20111001"</f>
        <v>20111001</v>
      </c>
      <c r="O581">
        <v>47</v>
      </c>
      <c r="P581">
        <v>5</v>
      </c>
      <c r="Q581">
        <v>560</v>
      </c>
      <c r="R581">
        <v>8</v>
      </c>
      <c r="S581" t="s">
        <v>4293</v>
      </c>
      <c r="T581" t="s">
        <v>4294</v>
      </c>
      <c r="U581" t="s">
        <v>42</v>
      </c>
      <c r="V581" t="s">
        <v>4295</v>
      </c>
      <c r="X581" t="s">
        <v>4297</v>
      </c>
      <c r="Y581" t="b">
        <f t="shared" si="9"/>
        <v>0</v>
      </c>
    </row>
    <row r="582" spans="1:25">
      <c r="A582" s="11" t="s">
        <v>9939</v>
      </c>
      <c r="B582" t="s">
        <v>16</v>
      </c>
      <c r="C582" s="2" t="s">
        <v>8349</v>
      </c>
      <c r="D582" t="s">
        <v>4299</v>
      </c>
      <c r="E582" t="s">
        <v>4298</v>
      </c>
      <c r="F582" s="20">
        <v>1</v>
      </c>
      <c r="H582" t="s">
        <v>4303</v>
      </c>
      <c r="I582">
        <v>1</v>
      </c>
      <c r="K582" t="s">
        <v>117</v>
      </c>
      <c r="M582" t="str">
        <f>"16579267"</f>
        <v>16579267</v>
      </c>
      <c r="N582" s="2" t="str">
        <f>"20190101"</f>
        <v>20190101</v>
      </c>
      <c r="O582">
        <v>18</v>
      </c>
      <c r="P582">
        <v>5</v>
      </c>
      <c r="Q582">
        <v>1</v>
      </c>
      <c r="R582">
        <v>11</v>
      </c>
      <c r="S582" t="s">
        <v>4300</v>
      </c>
      <c r="T582" t="s">
        <v>4301</v>
      </c>
      <c r="U582" t="s">
        <v>119</v>
      </c>
      <c r="V582" t="s">
        <v>4302</v>
      </c>
      <c r="X582" t="s">
        <v>4304</v>
      </c>
      <c r="Y582" t="b">
        <f t="shared" si="9"/>
        <v>0</v>
      </c>
    </row>
    <row r="583" spans="1:25" hidden="1">
      <c r="A583" s="11" t="s">
        <v>9939</v>
      </c>
      <c r="B583" t="s">
        <v>16</v>
      </c>
      <c r="C583" s="2" t="s">
        <v>8353</v>
      </c>
      <c r="D583" t="s">
        <v>4306</v>
      </c>
      <c r="E583" t="s">
        <v>4305</v>
      </c>
      <c r="H583" t="s">
        <v>4310</v>
      </c>
      <c r="K583" t="s">
        <v>1589</v>
      </c>
      <c r="M583" t="str">
        <f>"20746857"</f>
        <v>20746857</v>
      </c>
      <c r="N583" s="2" t="str">
        <f>"20160101"</f>
        <v>20160101</v>
      </c>
      <c r="O583">
        <v>9</v>
      </c>
      <c r="P583">
        <v>1</v>
      </c>
      <c r="Q583">
        <v>41</v>
      </c>
      <c r="R583">
        <v>16</v>
      </c>
      <c r="S583" t="s">
        <v>4307</v>
      </c>
      <c r="T583" t="s">
        <v>4308</v>
      </c>
      <c r="U583" t="s">
        <v>1592</v>
      </c>
      <c r="V583" t="s">
        <v>4309</v>
      </c>
      <c r="X583" t="s">
        <v>4311</v>
      </c>
      <c r="Y583" t="b">
        <f t="shared" si="9"/>
        <v>1</v>
      </c>
    </row>
    <row r="584" spans="1:25">
      <c r="A584" s="11" t="s">
        <v>9939</v>
      </c>
      <c r="B584" t="s">
        <v>16</v>
      </c>
      <c r="C584" s="2" t="s">
        <v>8344</v>
      </c>
      <c r="D584" t="s">
        <v>4313</v>
      </c>
      <c r="E584" t="s">
        <v>4312</v>
      </c>
      <c r="F584" s="20">
        <v>1</v>
      </c>
      <c r="H584" t="s">
        <v>4318</v>
      </c>
      <c r="I584">
        <v>1</v>
      </c>
      <c r="K584" t="s">
        <v>4314</v>
      </c>
      <c r="M584" t="str">
        <f>"01494929"</f>
        <v>01494929</v>
      </c>
      <c r="N584" s="2" t="str">
        <f>"20100501"</f>
        <v>20100501</v>
      </c>
      <c r="O584">
        <v>46</v>
      </c>
      <c r="P584">
        <v>4</v>
      </c>
      <c r="Q584">
        <v>257</v>
      </c>
      <c r="R584">
        <v>21</v>
      </c>
      <c r="S584" t="s">
        <v>4315</v>
      </c>
      <c r="T584" t="s">
        <v>4316</v>
      </c>
      <c r="U584" t="s">
        <v>87</v>
      </c>
      <c r="V584" t="s">
        <v>4317</v>
      </c>
      <c r="X584" t="s">
        <v>4319</v>
      </c>
      <c r="Y584" t="b">
        <f t="shared" si="9"/>
        <v>0</v>
      </c>
    </row>
    <row r="585" spans="1:25">
      <c r="A585" s="11" t="s">
        <v>9939</v>
      </c>
      <c r="B585" t="s">
        <v>16</v>
      </c>
      <c r="C585" s="2" t="s">
        <v>8337</v>
      </c>
      <c r="D585" t="s">
        <v>4321</v>
      </c>
      <c r="E585" t="s">
        <v>4320</v>
      </c>
      <c r="F585" s="20">
        <v>1</v>
      </c>
      <c r="H585" t="s">
        <v>4325</v>
      </c>
      <c r="I585">
        <v>0</v>
      </c>
      <c r="J585" t="s">
        <v>9265</v>
      </c>
      <c r="K585" t="s">
        <v>291</v>
      </c>
      <c r="M585" t="str">
        <f>"10169040"</f>
        <v>10169040</v>
      </c>
      <c r="N585" s="2" t="str">
        <f>"20130101"</f>
        <v>20130101</v>
      </c>
      <c r="O585">
        <v>18</v>
      </c>
      <c r="P585">
        <v>1</v>
      </c>
      <c r="Q585">
        <v>59</v>
      </c>
      <c r="R585">
        <v>11</v>
      </c>
      <c r="S585" t="s">
        <v>4322</v>
      </c>
      <c r="T585" t="s">
        <v>4323</v>
      </c>
      <c r="U585" t="s">
        <v>166</v>
      </c>
      <c r="V585" t="s">
        <v>4324</v>
      </c>
      <c r="X585" t="s">
        <v>4326</v>
      </c>
      <c r="Y585" t="b">
        <f t="shared" si="9"/>
        <v>0</v>
      </c>
    </row>
    <row r="586" spans="1:25" hidden="1">
      <c r="A586" s="11" t="s">
        <v>9939</v>
      </c>
      <c r="B586" t="s">
        <v>16</v>
      </c>
      <c r="C586" s="2" t="s">
        <v>8342</v>
      </c>
      <c r="D586" t="s">
        <v>4328</v>
      </c>
      <c r="E586" t="s">
        <v>4327</v>
      </c>
      <c r="F586" s="20">
        <v>0</v>
      </c>
      <c r="G586" t="s">
        <v>9178</v>
      </c>
      <c r="H586" t="s">
        <v>4332</v>
      </c>
      <c r="K586" t="s">
        <v>1029</v>
      </c>
      <c r="M586" t="str">
        <f>"01401971"</f>
        <v>01401971</v>
      </c>
      <c r="N586" s="2" t="str">
        <f>"20120801"</f>
        <v>20120801</v>
      </c>
      <c r="O586">
        <v>35</v>
      </c>
      <c r="P586">
        <v>4</v>
      </c>
      <c r="Q586">
        <v>855</v>
      </c>
      <c r="R586">
        <v>8</v>
      </c>
      <c r="S586" t="s">
        <v>4329</v>
      </c>
      <c r="T586" t="s">
        <v>4330</v>
      </c>
      <c r="U586" t="s">
        <v>34</v>
      </c>
      <c r="V586" t="s">
        <v>4331</v>
      </c>
      <c r="X586" t="s">
        <v>4333</v>
      </c>
      <c r="Y586" t="b">
        <f t="shared" si="9"/>
        <v>0</v>
      </c>
    </row>
    <row r="587" spans="1:25">
      <c r="A587" s="11" t="s">
        <v>9939</v>
      </c>
      <c r="B587" t="s">
        <v>16</v>
      </c>
      <c r="C587" s="2" t="s">
        <v>8337</v>
      </c>
      <c r="D587" t="s">
        <v>4335</v>
      </c>
      <c r="E587" t="s">
        <v>4334</v>
      </c>
      <c r="F587" s="20">
        <v>1</v>
      </c>
      <c r="H587" t="s">
        <v>4339</v>
      </c>
      <c r="I587">
        <v>1</v>
      </c>
      <c r="K587" t="s">
        <v>1180</v>
      </c>
      <c r="M587" t="str">
        <f>"15313204"</f>
        <v>15313204</v>
      </c>
      <c r="N587" s="2" t="str">
        <f>"20130101"</f>
        <v>20130101</v>
      </c>
      <c r="O587">
        <v>22</v>
      </c>
      <c r="P587">
        <v>1</v>
      </c>
      <c r="Q587">
        <v>60</v>
      </c>
      <c r="R587">
        <v>16</v>
      </c>
      <c r="S587" t="s">
        <v>4336</v>
      </c>
      <c r="T587" t="s">
        <v>4337</v>
      </c>
      <c r="U587" t="s">
        <v>87</v>
      </c>
      <c r="V587" t="s">
        <v>4338</v>
      </c>
      <c r="X587" t="s">
        <v>4340</v>
      </c>
      <c r="Y587" t="b">
        <f t="shared" si="9"/>
        <v>0</v>
      </c>
    </row>
    <row r="588" spans="1:25">
      <c r="A588" s="11" t="s">
        <v>9939</v>
      </c>
      <c r="B588" t="s">
        <v>16</v>
      </c>
      <c r="C588" s="2" t="s">
        <v>8339</v>
      </c>
      <c r="D588" t="s">
        <v>4342</v>
      </c>
      <c r="E588" t="s">
        <v>4341</v>
      </c>
      <c r="F588" s="20">
        <v>1</v>
      </c>
      <c r="H588" t="s">
        <v>4346</v>
      </c>
      <c r="I588">
        <v>1</v>
      </c>
      <c r="K588" t="s">
        <v>339</v>
      </c>
      <c r="M588" t="str">
        <f>"01419870"</f>
        <v>01419870</v>
      </c>
      <c r="N588" s="2" t="str">
        <f>"20150401"</f>
        <v>20150401</v>
      </c>
      <c r="O588">
        <v>38</v>
      </c>
      <c r="P588">
        <v>5</v>
      </c>
      <c r="Q588">
        <v>734</v>
      </c>
      <c r="R588">
        <v>25</v>
      </c>
      <c r="S588" t="s">
        <v>4343</v>
      </c>
      <c r="T588" t="s">
        <v>4344</v>
      </c>
      <c r="U588" t="s">
        <v>87</v>
      </c>
      <c r="V588" t="s">
        <v>4345</v>
      </c>
      <c r="X588" t="s">
        <v>4347</v>
      </c>
      <c r="Y588" t="b">
        <f t="shared" si="9"/>
        <v>0</v>
      </c>
    </row>
    <row r="589" spans="1:25" hidden="1">
      <c r="A589" s="11" t="s">
        <v>9939</v>
      </c>
      <c r="B589" t="s">
        <v>16</v>
      </c>
      <c r="C589" s="2" t="s">
        <v>8346</v>
      </c>
      <c r="D589" t="s">
        <v>4349</v>
      </c>
      <c r="E589" t="s">
        <v>4348</v>
      </c>
      <c r="F589" s="20">
        <v>0</v>
      </c>
      <c r="G589" t="s">
        <v>9237</v>
      </c>
      <c r="H589" t="s">
        <v>4353</v>
      </c>
      <c r="K589" t="s">
        <v>140</v>
      </c>
      <c r="M589" t="str">
        <f>"02779536"</f>
        <v>02779536</v>
      </c>
      <c r="N589" s="2" t="str">
        <f>"20110401"</f>
        <v>20110401</v>
      </c>
      <c r="O589">
        <v>72</v>
      </c>
      <c r="P589">
        <v>8</v>
      </c>
      <c r="Q589">
        <v>1294</v>
      </c>
      <c r="R589">
        <v>8</v>
      </c>
      <c r="S589" t="s">
        <v>4350</v>
      </c>
      <c r="T589" t="s">
        <v>4351</v>
      </c>
      <c r="U589" t="s">
        <v>34</v>
      </c>
      <c r="V589" t="s">
        <v>4352</v>
      </c>
      <c r="X589" t="s">
        <v>4354</v>
      </c>
      <c r="Y589" t="b">
        <f t="shared" si="9"/>
        <v>0</v>
      </c>
    </row>
    <row r="590" spans="1:25" hidden="1">
      <c r="A590" s="11" t="s">
        <v>9939</v>
      </c>
      <c r="B590" t="s">
        <v>16</v>
      </c>
      <c r="C590" s="2" t="s">
        <v>8343</v>
      </c>
      <c r="D590" t="s">
        <v>4356</v>
      </c>
      <c r="E590" t="s">
        <v>4355</v>
      </c>
      <c r="H590" t="s">
        <v>4360</v>
      </c>
      <c r="K590" t="s">
        <v>1656</v>
      </c>
      <c r="M590" t="str">
        <f>"01918869"</f>
        <v>01918869</v>
      </c>
      <c r="N590" s="2" t="str">
        <f>"20170415"</f>
        <v>20170415</v>
      </c>
      <c r="O590">
        <v>109</v>
      </c>
      <c r="Q590">
        <v>137</v>
      </c>
      <c r="R590">
        <v>5</v>
      </c>
      <c r="S590" t="s">
        <v>4357</v>
      </c>
      <c r="T590" t="s">
        <v>4358</v>
      </c>
      <c r="U590" t="s">
        <v>34</v>
      </c>
      <c r="V590" t="s">
        <v>4359</v>
      </c>
      <c r="X590" t="s">
        <v>4361</v>
      </c>
      <c r="Y590" t="b">
        <f t="shared" si="9"/>
        <v>1</v>
      </c>
    </row>
    <row r="591" spans="1:25">
      <c r="A591" s="11" t="s">
        <v>9939</v>
      </c>
      <c r="B591" t="s">
        <v>16</v>
      </c>
      <c r="C591" s="2" t="s">
        <v>8334</v>
      </c>
      <c r="D591" t="s">
        <v>4363</v>
      </c>
      <c r="E591" t="s">
        <v>4362</v>
      </c>
      <c r="F591" s="20">
        <v>1</v>
      </c>
      <c r="H591" t="s">
        <v>4369</v>
      </c>
      <c r="I591">
        <v>1</v>
      </c>
      <c r="K591" t="s">
        <v>4364</v>
      </c>
      <c r="M591" t="str">
        <f>"10402861"</f>
        <v>10402861</v>
      </c>
      <c r="N591" s="2" t="str">
        <f>"20141001"</f>
        <v>20141001</v>
      </c>
      <c r="O591">
        <v>36</v>
      </c>
      <c r="P591">
        <v>4</v>
      </c>
      <c r="Q591">
        <v>345</v>
      </c>
      <c r="R591">
        <v>15</v>
      </c>
      <c r="S591" t="s">
        <v>4365</v>
      </c>
      <c r="T591" t="s">
        <v>4366</v>
      </c>
      <c r="U591" t="s">
        <v>4367</v>
      </c>
      <c r="V591" t="s">
        <v>4368</v>
      </c>
      <c r="X591" t="s">
        <v>4370</v>
      </c>
      <c r="Y591" t="b">
        <f t="shared" si="9"/>
        <v>0</v>
      </c>
    </row>
    <row r="592" spans="1:25" hidden="1">
      <c r="A592" s="11" t="s">
        <v>9939</v>
      </c>
      <c r="B592" t="s">
        <v>16</v>
      </c>
      <c r="C592" s="2" t="s">
        <v>8338</v>
      </c>
      <c r="D592" t="s">
        <v>4372</v>
      </c>
      <c r="E592" t="s">
        <v>4371</v>
      </c>
      <c r="H592" t="s">
        <v>4376</v>
      </c>
      <c r="K592" t="s">
        <v>132</v>
      </c>
      <c r="M592" t="str">
        <f>"01471767"</f>
        <v>01471767</v>
      </c>
      <c r="N592" s="2" t="str">
        <f>"20060701"</f>
        <v>20060701</v>
      </c>
      <c r="O592">
        <v>30</v>
      </c>
      <c r="P592">
        <v>4</v>
      </c>
      <c r="Q592">
        <v>471</v>
      </c>
      <c r="R592">
        <v>15</v>
      </c>
      <c r="S592" t="s">
        <v>4373</v>
      </c>
      <c r="T592" t="s">
        <v>4374</v>
      </c>
      <c r="U592" t="s">
        <v>34</v>
      </c>
      <c r="V592" t="s">
        <v>4375</v>
      </c>
      <c r="X592" t="s">
        <v>4377</v>
      </c>
      <c r="Y592" t="b">
        <f t="shared" si="9"/>
        <v>1</v>
      </c>
    </row>
    <row r="593" spans="1:25">
      <c r="A593" s="11" t="s">
        <v>9939</v>
      </c>
      <c r="B593" t="s">
        <v>16</v>
      </c>
      <c r="C593" s="2" t="s">
        <v>8344</v>
      </c>
      <c r="D593" t="s">
        <v>4379</v>
      </c>
      <c r="E593" t="s">
        <v>4378</v>
      </c>
      <c r="F593" s="20">
        <v>1</v>
      </c>
      <c r="H593" t="s">
        <v>4384</v>
      </c>
      <c r="I593">
        <v>1</v>
      </c>
      <c r="K593" t="s">
        <v>4380</v>
      </c>
      <c r="M593" t="str">
        <f>"21522715"</f>
        <v>21522715</v>
      </c>
      <c r="N593" s="2" t="str">
        <f>"20100801"</f>
        <v>20100801</v>
      </c>
      <c r="O593">
        <v>13</v>
      </c>
      <c r="P593">
        <v>4</v>
      </c>
      <c r="Q593">
        <v>387</v>
      </c>
      <c r="R593">
        <v>13</v>
      </c>
      <c r="S593" t="s">
        <v>4381</v>
      </c>
      <c r="T593" t="s">
        <v>4382</v>
      </c>
      <c r="U593" t="s">
        <v>404</v>
      </c>
      <c r="V593" t="s">
        <v>4383</v>
      </c>
      <c r="X593" t="s">
        <v>4385</v>
      </c>
      <c r="Y593" t="b">
        <f t="shared" si="9"/>
        <v>0</v>
      </c>
    </row>
    <row r="594" spans="1:25">
      <c r="A594" s="11" t="s">
        <v>9939</v>
      </c>
      <c r="B594" t="s">
        <v>16</v>
      </c>
      <c r="C594" s="2" t="s">
        <v>8339</v>
      </c>
      <c r="D594" t="s">
        <v>4387</v>
      </c>
      <c r="E594" t="s">
        <v>4386</v>
      </c>
      <c r="F594" s="20">
        <v>1</v>
      </c>
      <c r="H594" t="s">
        <v>4392</v>
      </c>
      <c r="I594">
        <v>1</v>
      </c>
      <c r="K594" t="s">
        <v>4388</v>
      </c>
      <c r="M594" t="str">
        <f>"08857482"</f>
        <v>08857482</v>
      </c>
      <c r="N594" s="2" t="str">
        <f>"20150101"</f>
        <v>20150101</v>
      </c>
      <c r="O594">
        <v>30</v>
      </c>
      <c r="P594">
        <v>1</v>
      </c>
      <c r="Q594">
        <v>35</v>
      </c>
      <c r="R594">
        <v>13</v>
      </c>
      <c r="S594" t="s">
        <v>4389</v>
      </c>
      <c r="T594" t="s">
        <v>4390</v>
      </c>
      <c r="U594" t="s">
        <v>42</v>
      </c>
      <c r="V594" t="s">
        <v>4391</v>
      </c>
      <c r="X594" t="s">
        <v>4393</v>
      </c>
      <c r="Y594" t="b">
        <f t="shared" si="9"/>
        <v>0</v>
      </c>
    </row>
    <row r="595" spans="1:25">
      <c r="A595" s="11" t="s">
        <v>9939</v>
      </c>
      <c r="B595" t="s">
        <v>16</v>
      </c>
      <c r="C595" s="2" t="s">
        <v>8345</v>
      </c>
      <c r="D595" t="s">
        <v>4395</v>
      </c>
      <c r="E595" t="s">
        <v>4394</v>
      </c>
      <c r="F595" s="20">
        <v>1</v>
      </c>
      <c r="H595" t="s">
        <v>4400</v>
      </c>
      <c r="I595">
        <v>0</v>
      </c>
      <c r="J595" t="s">
        <v>9249</v>
      </c>
      <c r="K595" t="s">
        <v>4396</v>
      </c>
      <c r="M595" t="str">
        <f>"01937235"</f>
        <v>01937235</v>
      </c>
      <c r="N595" s="2" t="str">
        <f>"20200201"</f>
        <v>20200201</v>
      </c>
      <c r="O595">
        <v>44</v>
      </c>
      <c r="P595">
        <v>1</v>
      </c>
      <c r="Q595">
        <v>22</v>
      </c>
      <c r="R595">
        <v>25</v>
      </c>
      <c r="S595" t="s">
        <v>4397</v>
      </c>
      <c r="T595" t="s">
        <v>4398</v>
      </c>
      <c r="U595" t="s">
        <v>15</v>
      </c>
      <c r="V595" t="s">
        <v>4399</v>
      </c>
      <c r="X595" t="s">
        <v>4401</v>
      </c>
      <c r="Y595" t="b">
        <f t="shared" si="9"/>
        <v>0</v>
      </c>
    </row>
    <row r="596" spans="1:25" hidden="1">
      <c r="A596" s="11" t="s">
        <v>9939</v>
      </c>
      <c r="B596" t="s">
        <v>69</v>
      </c>
      <c r="C596" s="2" t="s">
        <v>8337</v>
      </c>
      <c r="D596" t="s">
        <v>4403</v>
      </c>
      <c r="E596" t="s">
        <v>4402</v>
      </c>
      <c r="H596" t="s">
        <v>4406</v>
      </c>
      <c r="K596" t="s">
        <v>65</v>
      </c>
      <c r="L596" t="str">
        <f>"9781267775207"</f>
        <v>9781267775207</v>
      </c>
      <c r="M596" t="str">
        <f>"04194209"</f>
        <v>04194209</v>
      </c>
      <c r="N596" s="2" t="str">
        <f>"20130101"</f>
        <v>20130101</v>
      </c>
      <c r="O596">
        <v>74</v>
      </c>
      <c r="P596" t="s">
        <v>1430</v>
      </c>
      <c r="S596" t="s">
        <v>4404</v>
      </c>
      <c r="U596" t="s">
        <v>68</v>
      </c>
      <c r="V596" t="s">
        <v>4405</v>
      </c>
      <c r="X596" t="s">
        <v>4407</v>
      </c>
      <c r="Y596" t="b">
        <f t="shared" si="9"/>
        <v>1</v>
      </c>
    </row>
    <row r="597" spans="1:25">
      <c r="A597" s="11" t="s">
        <v>9939</v>
      </c>
      <c r="B597" t="s">
        <v>16</v>
      </c>
      <c r="C597" s="2" t="s">
        <v>8337</v>
      </c>
      <c r="D597" t="s">
        <v>4409</v>
      </c>
      <c r="E597" t="s">
        <v>4408</v>
      </c>
      <c r="F597" s="20">
        <v>1</v>
      </c>
      <c r="H597" t="s">
        <v>4413</v>
      </c>
      <c r="I597">
        <v>0</v>
      </c>
      <c r="J597" t="s">
        <v>9265</v>
      </c>
      <c r="K597" t="s">
        <v>40</v>
      </c>
      <c r="M597" t="str">
        <f>"15571912"</f>
        <v>15571912</v>
      </c>
      <c r="N597" s="2" t="str">
        <f>"20130601"</f>
        <v>20130601</v>
      </c>
      <c r="O597">
        <v>15</v>
      </c>
      <c r="P597">
        <v>3</v>
      </c>
      <c r="Q597">
        <v>510</v>
      </c>
      <c r="R597">
        <v>7</v>
      </c>
      <c r="S597" t="s">
        <v>4410</v>
      </c>
      <c r="T597" t="s">
        <v>4411</v>
      </c>
      <c r="U597" t="s">
        <v>42</v>
      </c>
      <c r="V597" t="s">
        <v>4412</v>
      </c>
      <c r="X597" t="s">
        <v>4414</v>
      </c>
      <c r="Y597" t="b">
        <f t="shared" si="9"/>
        <v>0</v>
      </c>
    </row>
    <row r="598" spans="1:25">
      <c r="A598" s="11" t="s">
        <v>9939</v>
      </c>
      <c r="B598" t="s">
        <v>16</v>
      </c>
      <c r="C598" s="2" t="s">
        <v>8347</v>
      </c>
      <c r="D598" t="s">
        <v>4416</v>
      </c>
      <c r="E598" t="s">
        <v>4415</v>
      </c>
      <c r="F598" s="20">
        <v>1</v>
      </c>
      <c r="H598" t="s">
        <v>4420</v>
      </c>
      <c r="I598">
        <v>1</v>
      </c>
      <c r="K598" t="s">
        <v>1774</v>
      </c>
      <c r="M598" t="str">
        <f>"0049089X"</f>
        <v>0049089X</v>
      </c>
      <c r="N598" s="2" t="str">
        <f>"20080301"</f>
        <v>20080301</v>
      </c>
      <c r="O598">
        <v>37</v>
      </c>
      <c r="P598">
        <v>1</v>
      </c>
      <c r="Q598">
        <v>109</v>
      </c>
      <c r="R598">
        <v>29</v>
      </c>
      <c r="S598" t="s">
        <v>4417</v>
      </c>
      <c r="T598" t="s">
        <v>4418</v>
      </c>
      <c r="U598" t="s">
        <v>34</v>
      </c>
      <c r="V598" t="s">
        <v>4419</v>
      </c>
      <c r="X598" t="s">
        <v>4421</v>
      </c>
      <c r="Y598" t="b">
        <f t="shared" si="9"/>
        <v>0</v>
      </c>
    </row>
    <row r="599" spans="1:25">
      <c r="A599" s="11" t="s">
        <v>9939</v>
      </c>
      <c r="B599" t="s">
        <v>16</v>
      </c>
      <c r="C599" s="2" t="s">
        <v>8349</v>
      </c>
      <c r="D599" t="s">
        <v>4423</v>
      </c>
      <c r="E599" t="s">
        <v>4422</v>
      </c>
      <c r="F599" s="20">
        <v>1</v>
      </c>
      <c r="H599" t="s">
        <v>4427</v>
      </c>
      <c r="I599">
        <v>0</v>
      </c>
      <c r="J599" t="s">
        <v>9178</v>
      </c>
      <c r="K599" t="s">
        <v>1774</v>
      </c>
      <c r="M599" t="str">
        <f>"0049089X"</f>
        <v>0049089X</v>
      </c>
      <c r="N599" s="2" t="str">
        <f>"20190901"</f>
        <v>20190901</v>
      </c>
      <c r="O599">
        <v>83</v>
      </c>
      <c r="S599" t="s">
        <v>4424</v>
      </c>
      <c r="T599" t="s">
        <v>4425</v>
      </c>
      <c r="U599" t="s">
        <v>34</v>
      </c>
      <c r="V599" t="s">
        <v>4426</v>
      </c>
      <c r="X599" t="s">
        <v>4428</v>
      </c>
      <c r="Y599" t="b">
        <f t="shared" si="9"/>
        <v>0</v>
      </c>
    </row>
    <row r="600" spans="1:25">
      <c r="A600" s="11" t="s">
        <v>9939</v>
      </c>
      <c r="B600" t="s">
        <v>16</v>
      </c>
      <c r="C600" s="2" t="s">
        <v>8340</v>
      </c>
      <c r="D600" t="s">
        <v>4430</v>
      </c>
      <c r="E600" t="s">
        <v>4429</v>
      </c>
      <c r="F600" s="20">
        <v>1</v>
      </c>
      <c r="H600" t="s">
        <v>4434</v>
      </c>
      <c r="I600">
        <v>1</v>
      </c>
      <c r="K600" t="s">
        <v>1308</v>
      </c>
      <c r="M600" t="str">
        <f>"00472891"</f>
        <v>00472891</v>
      </c>
      <c r="N600" s="2" t="str">
        <f>"20180101"</f>
        <v>20180101</v>
      </c>
      <c r="O600">
        <v>47</v>
      </c>
      <c r="P600">
        <v>1</v>
      </c>
      <c r="Q600">
        <v>16</v>
      </c>
      <c r="R600">
        <v>22</v>
      </c>
      <c r="S600" t="s">
        <v>4431</v>
      </c>
      <c r="T600" t="s">
        <v>4432</v>
      </c>
      <c r="U600" t="s">
        <v>42</v>
      </c>
      <c r="V600" t="s">
        <v>4433</v>
      </c>
      <c r="X600" t="s">
        <v>4435</v>
      </c>
      <c r="Y600" t="b">
        <f t="shared" si="9"/>
        <v>0</v>
      </c>
    </row>
    <row r="601" spans="1:25">
      <c r="A601" s="11" t="s">
        <v>9939</v>
      </c>
      <c r="B601" t="s">
        <v>16</v>
      </c>
      <c r="C601" s="2" t="s">
        <v>8343</v>
      </c>
      <c r="D601" t="s">
        <v>4437</v>
      </c>
      <c r="E601" t="s">
        <v>4436</v>
      </c>
      <c r="F601" s="20">
        <v>1</v>
      </c>
      <c r="H601" t="s">
        <v>4441</v>
      </c>
      <c r="I601">
        <v>1</v>
      </c>
      <c r="K601" t="s">
        <v>252</v>
      </c>
      <c r="M601" t="str">
        <f>"00220221"</f>
        <v>00220221</v>
      </c>
      <c r="N601" s="2" t="str">
        <f>"20170401"</f>
        <v>20170401</v>
      </c>
      <c r="O601">
        <v>48</v>
      </c>
      <c r="P601">
        <v>3</v>
      </c>
      <c r="Q601">
        <v>287</v>
      </c>
      <c r="R601">
        <v>7</v>
      </c>
      <c r="S601" t="s">
        <v>4438</v>
      </c>
      <c r="T601" t="s">
        <v>4439</v>
      </c>
      <c r="U601" t="s">
        <v>15</v>
      </c>
      <c r="V601" t="s">
        <v>4440</v>
      </c>
      <c r="X601" t="s">
        <v>4442</v>
      </c>
      <c r="Y601" t="b">
        <f t="shared" si="9"/>
        <v>0</v>
      </c>
    </row>
    <row r="602" spans="1:25" hidden="1">
      <c r="A602" s="11" t="s">
        <v>9939</v>
      </c>
      <c r="B602" t="s">
        <v>16</v>
      </c>
      <c r="C602" s="2" t="s">
        <v>8348</v>
      </c>
      <c r="D602" t="s">
        <v>4444</v>
      </c>
      <c r="E602" t="s">
        <v>4443</v>
      </c>
      <c r="F602" s="20">
        <v>0</v>
      </c>
      <c r="G602" t="s">
        <v>9950</v>
      </c>
      <c r="H602" t="s">
        <v>4448</v>
      </c>
      <c r="K602" t="s">
        <v>140</v>
      </c>
      <c r="M602" t="str">
        <f>"02779536"</f>
        <v>02779536</v>
      </c>
      <c r="N602" s="2" t="str">
        <f>"20051201"</f>
        <v>20051201</v>
      </c>
      <c r="O602">
        <v>61</v>
      </c>
      <c r="P602">
        <v>12</v>
      </c>
      <c r="Q602">
        <v>2469</v>
      </c>
      <c r="R602">
        <v>13</v>
      </c>
      <c r="S602" t="s">
        <v>4445</v>
      </c>
      <c r="T602" t="s">
        <v>4446</v>
      </c>
      <c r="U602" t="s">
        <v>34</v>
      </c>
      <c r="V602" t="s">
        <v>4447</v>
      </c>
      <c r="X602" t="s">
        <v>4449</v>
      </c>
      <c r="Y602" t="b">
        <f t="shared" si="9"/>
        <v>0</v>
      </c>
    </row>
    <row r="603" spans="1:25">
      <c r="A603" s="11" t="s">
        <v>9939</v>
      </c>
      <c r="B603" t="s">
        <v>16</v>
      </c>
      <c r="C603" s="2" t="s">
        <v>8337</v>
      </c>
      <c r="D603" t="s">
        <v>4451</v>
      </c>
      <c r="E603" t="s">
        <v>4450</v>
      </c>
      <c r="F603" s="20">
        <v>1</v>
      </c>
      <c r="H603" t="s">
        <v>4455</v>
      </c>
      <c r="I603">
        <v>1</v>
      </c>
      <c r="K603" t="s">
        <v>132</v>
      </c>
      <c r="M603" t="str">
        <f>"01471767"</f>
        <v>01471767</v>
      </c>
      <c r="N603" s="2" t="str">
        <f>"20131101"</f>
        <v>20131101</v>
      </c>
      <c r="O603">
        <v>37</v>
      </c>
      <c r="P603">
        <v>6</v>
      </c>
      <c r="Q603">
        <v>739</v>
      </c>
      <c r="R603">
        <v>11</v>
      </c>
      <c r="S603" t="s">
        <v>4452</v>
      </c>
      <c r="T603" t="s">
        <v>4453</v>
      </c>
      <c r="U603" t="s">
        <v>34</v>
      </c>
      <c r="V603" t="s">
        <v>4454</v>
      </c>
      <c r="X603" t="s">
        <v>4456</v>
      </c>
      <c r="Y603" t="b">
        <f t="shared" si="9"/>
        <v>0</v>
      </c>
    </row>
    <row r="604" spans="1:25" hidden="1">
      <c r="A604" s="11" t="s">
        <v>9939</v>
      </c>
      <c r="B604" t="s">
        <v>16</v>
      </c>
      <c r="C604" s="2" t="s">
        <v>8337</v>
      </c>
      <c r="D604" t="s">
        <v>4458</v>
      </c>
      <c r="E604" t="s">
        <v>4457</v>
      </c>
      <c r="F604" s="20">
        <v>0</v>
      </c>
      <c r="G604" t="s">
        <v>9178</v>
      </c>
      <c r="H604" t="s">
        <v>4462</v>
      </c>
      <c r="K604" t="s">
        <v>40</v>
      </c>
      <c r="M604" t="str">
        <f>"15571912"</f>
        <v>15571912</v>
      </c>
      <c r="N604" s="2" t="str">
        <f>"20130601"</f>
        <v>20130601</v>
      </c>
      <c r="O604">
        <v>15</v>
      </c>
      <c r="P604">
        <v>3</v>
      </c>
      <c r="Q604">
        <v>598</v>
      </c>
      <c r="R604">
        <v>8</v>
      </c>
      <c r="S604" t="s">
        <v>4459</v>
      </c>
      <c r="T604" t="s">
        <v>4460</v>
      </c>
      <c r="U604" t="s">
        <v>42</v>
      </c>
      <c r="V604" t="s">
        <v>4461</v>
      </c>
      <c r="X604" t="s">
        <v>4463</v>
      </c>
      <c r="Y604" t="b">
        <f t="shared" si="9"/>
        <v>0</v>
      </c>
    </row>
    <row r="605" spans="1:25" hidden="1">
      <c r="A605" s="11" t="s">
        <v>9939</v>
      </c>
      <c r="B605" t="s">
        <v>16</v>
      </c>
      <c r="C605" s="2" t="s">
        <v>8342</v>
      </c>
      <c r="D605" t="s">
        <v>4465</v>
      </c>
      <c r="E605" t="s">
        <v>4464</v>
      </c>
      <c r="F605" s="20">
        <v>0</v>
      </c>
      <c r="G605" t="s">
        <v>9249</v>
      </c>
      <c r="H605" t="s">
        <v>4470</v>
      </c>
      <c r="K605" t="s">
        <v>4466</v>
      </c>
      <c r="M605" t="str">
        <f>"14034948"</f>
        <v>14034948</v>
      </c>
      <c r="N605" s="2" t="str">
        <f>"20120501"</f>
        <v>20120501</v>
      </c>
      <c r="O605">
        <v>40</v>
      </c>
      <c r="P605">
        <v>3</v>
      </c>
      <c r="Q605">
        <v>260</v>
      </c>
      <c r="R605">
        <v>11</v>
      </c>
      <c r="S605" t="s">
        <v>4467</v>
      </c>
      <c r="T605" t="s">
        <v>4468</v>
      </c>
      <c r="U605" t="s">
        <v>15</v>
      </c>
      <c r="V605" t="s">
        <v>4469</v>
      </c>
      <c r="X605" t="s">
        <v>4471</v>
      </c>
      <c r="Y605" t="b">
        <f t="shared" si="9"/>
        <v>0</v>
      </c>
    </row>
    <row r="606" spans="1:25" hidden="1">
      <c r="A606" s="11" t="s">
        <v>9939</v>
      </c>
      <c r="B606" t="s">
        <v>16</v>
      </c>
      <c r="C606" s="2" t="s">
        <v>8348</v>
      </c>
      <c r="D606" t="s">
        <v>4473</v>
      </c>
      <c r="E606" t="s">
        <v>4472</v>
      </c>
      <c r="F606" s="20">
        <v>0</v>
      </c>
      <c r="G606" t="s">
        <v>9178</v>
      </c>
      <c r="H606" t="s">
        <v>4478</v>
      </c>
      <c r="K606" t="s">
        <v>4474</v>
      </c>
      <c r="M606" t="str">
        <f>"10550496"</f>
        <v>10550496</v>
      </c>
      <c r="N606" s="2" t="str">
        <f>"20050501"</f>
        <v>20050501</v>
      </c>
      <c r="O606">
        <v>14</v>
      </c>
      <c r="P606">
        <v>3</v>
      </c>
      <c r="Q606">
        <v>234</v>
      </c>
      <c r="R606">
        <v>14</v>
      </c>
      <c r="S606" t="s">
        <v>4475</v>
      </c>
      <c r="T606" t="s">
        <v>4476</v>
      </c>
      <c r="U606" t="s">
        <v>87</v>
      </c>
      <c r="V606" t="s">
        <v>4477</v>
      </c>
      <c r="X606" t="s">
        <v>4479</v>
      </c>
      <c r="Y606" t="b">
        <f t="shared" si="9"/>
        <v>0</v>
      </c>
    </row>
    <row r="607" spans="1:25" hidden="1">
      <c r="A607" s="11" t="s">
        <v>9939</v>
      </c>
      <c r="B607" t="s">
        <v>16</v>
      </c>
      <c r="C607" s="2" t="s">
        <v>8353</v>
      </c>
      <c r="D607" t="s">
        <v>4481</v>
      </c>
      <c r="E607" t="s">
        <v>4480</v>
      </c>
      <c r="F607" s="20">
        <v>0</v>
      </c>
      <c r="G607" t="s">
        <v>9249</v>
      </c>
      <c r="H607" t="s">
        <v>4485</v>
      </c>
      <c r="K607" t="s">
        <v>132</v>
      </c>
      <c r="M607" t="str">
        <f>"01471767"</f>
        <v>01471767</v>
      </c>
      <c r="N607" s="2" t="str">
        <f>"20161101"</f>
        <v>20161101</v>
      </c>
      <c r="O607">
        <v>55</v>
      </c>
      <c r="Q607">
        <v>97</v>
      </c>
      <c r="R607">
        <v>12</v>
      </c>
      <c r="S607" t="s">
        <v>4482</v>
      </c>
      <c r="T607" t="s">
        <v>4483</v>
      </c>
      <c r="U607" t="s">
        <v>34</v>
      </c>
      <c r="V607" t="s">
        <v>4484</v>
      </c>
      <c r="X607" t="s">
        <v>4486</v>
      </c>
      <c r="Y607" t="b">
        <f t="shared" si="9"/>
        <v>0</v>
      </c>
    </row>
    <row r="608" spans="1:25">
      <c r="A608" s="11" t="s">
        <v>9939</v>
      </c>
      <c r="B608" t="s">
        <v>16</v>
      </c>
      <c r="C608" s="2" t="s">
        <v>8349</v>
      </c>
      <c r="D608" t="s">
        <v>4488</v>
      </c>
      <c r="E608" t="s">
        <v>4487</v>
      </c>
      <c r="F608" s="20">
        <v>1</v>
      </c>
      <c r="H608" t="s">
        <v>4492</v>
      </c>
      <c r="I608">
        <v>1</v>
      </c>
      <c r="K608" t="s">
        <v>322</v>
      </c>
      <c r="M608" t="str">
        <f>"03038300"</f>
        <v>03038300</v>
      </c>
      <c r="N608" s="2" t="str">
        <f>"20190115"</f>
        <v>20190115</v>
      </c>
      <c r="O608">
        <v>141</v>
      </c>
      <c r="P608">
        <v>1</v>
      </c>
      <c r="Q608">
        <v>463</v>
      </c>
      <c r="R608">
        <v>13</v>
      </c>
      <c r="S608" t="s">
        <v>4489</v>
      </c>
      <c r="T608" t="s">
        <v>4490</v>
      </c>
      <c r="U608" t="s">
        <v>42</v>
      </c>
      <c r="V608" t="s">
        <v>4491</v>
      </c>
      <c r="X608" t="s">
        <v>4493</v>
      </c>
      <c r="Y608" t="b">
        <f t="shared" si="9"/>
        <v>0</v>
      </c>
    </row>
    <row r="609" spans="1:25" hidden="1">
      <c r="A609" s="11" t="s">
        <v>9939</v>
      </c>
      <c r="B609" t="s">
        <v>16</v>
      </c>
      <c r="C609" s="2" t="s">
        <v>8343</v>
      </c>
      <c r="D609" t="s">
        <v>4495</v>
      </c>
      <c r="E609" t="s">
        <v>4494</v>
      </c>
      <c r="H609" t="s">
        <v>4499</v>
      </c>
      <c r="K609" t="s">
        <v>197</v>
      </c>
      <c r="M609" t="str">
        <f>"10436596"</f>
        <v>10436596</v>
      </c>
      <c r="N609" s="2" t="str">
        <f>"20170301"</f>
        <v>20170301</v>
      </c>
      <c r="O609">
        <v>28</v>
      </c>
      <c r="P609">
        <v>2</v>
      </c>
      <c r="Q609">
        <v>168</v>
      </c>
      <c r="R609">
        <v>11</v>
      </c>
      <c r="S609" t="s">
        <v>4496</v>
      </c>
      <c r="T609" t="s">
        <v>4497</v>
      </c>
      <c r="U609" t="s">
        <v>15</v>
      </c>
      <c r="V609" t="s">
        <v>4498</v>
      </c>
      <c r="X609" t="s">
        <v>4500</v>
      </c>
      <c r="Y609" t="b">
        <f t="shared" si="9"/>
        <v>1</v>
      </c>
    </row>
    <row r="610" spans="1:25" hidden="1">
      <c r="A610" s="11" t="s">
        <v>9939</v>
      </c>
      <c r="B610" t="s">
        <v>16</v>
      </c>
      <c r="C610" s="2" t="s">
        <v>8336</v>
      </c>
      <c r="D610" t="s">
        <v>4502</v>
      </c>
      <c r="E610" t="s">
        <v>4501</v>
      </c>
      <c r="F610" s="20">
        <v>0</v>
      </c>
      <c r="G610" t="s">
        <v>9178</v>
      </c>
      <c r="H610" t="s">
        <v>4506</v>
      </c>
      <c r="K610" t="s">
        <v>260</v>
      </c>
      <c r="M610" t="str">
        <f>"07399332"</f>
        <v>07399332</v>
      </c>
      <c r="N610" s="2" t="str">
        <f>"20070101"</f>
        <v>20070101</v>
      </c>
      <c r="O610">
        <v>28</v>
      </c>
      <c r="P610">
        <v>4</v>
      </c>
      <c r="Q610">
        <v>360</v>
      </c>
      <c r="R610">
        <v>21</v>
      </c>
      <c r="S610" t="s">
        <v>4503</v>
      </c>
      <c r="T610" t="s">
        <v>4504</v>
      </c>
      <c r="U610" t="s">
        <v>87</v>
      </c>
      <c r="V610" t="s">
        <v>4505</v>
      </c>
      <c r="X610" t="s">
        <v>4507</v>
      </c>
      <c r="Y610" t="b">
        <f t="shared" si="9"/>
        <v>0</v>
      </c>
    </row>
    <row r="611" spans="1:25" hidden="1">
      <c r="A611" s="11" t="s">
        <v>9939</v>
      </c>
      <c r="B611" t="s">
        <v>16</v>
      </c>
      <c r="C611" s="2" t="s">
        <v>8353</v>
      </c>
      <c r="D611" t="s">
        <v>2968</v>
      </c>
      <c r="E611" t="s">
        <v>4508</v>
      </c>
      <c r="H611" t="s">
        <v>4513</v>
      </c>
      <c r="K611" t="s">
        <v>4509</v>
      </c>
      <c r="M611" t="str">
        <f>"08856230"</f>
        <v>08856230</v>
      </c>
      <c r="N611" s="2" t="str">
        <f>"20160301"</f>
        <v>20160301</v>
      </c>
      <c r="O611">
        <v>31</v>
      </c>
      <c r="P611">
        <v>3</v>
      </c>
      <c r="Q611">
        <v>222</v>
      </c>
      <c r="R611">
        <v>9</v>
      </c>
      <c r="S611" t="s">
        <v>4510</v>
      </c>
      <c r="T611" t="s">
        <v>4511</v>
      </c>
      <c r="U611" t="s">
        <v>224</v>
      </c>
      <c r="V611" t="s">
        <v>4512</v>
      </c>
      <c r="X611" t="s">
        <v>4514</v>
      </c>
      <c r="Y611" t="b">
        <f t="shared" si="9"/>
        <v>1</v>
      </c>
    </row>
    <row r="612" spans="1:25" hidden="1">
      <c r="A612" s="11" t="s">
        <v>9939</v>
      </c>
      <c r="B612" t="s">
        <v>16</v>
      </c>
      <c r="C612" s="2" t="s">
        <v>8341</v>
      </c>
      <c r="D612" t="s">
        <v>4516</v>
      </c>
      <c r="E612" t="s">
        <v>4515</v>
      </c>
      <c r="H612" t="s">
        <v>4521</v>
      </c>
      <c r="K612" t="s">
        <v>4517</v>
      </c>
      <c r="M612" t="str">
        <f>"10416102"</f>
        <v>10416102</v>
      </c>
      <c r="N612" s="2" t="str">
        <f>"20091001"</f>
        <v>20091001</v>
      </c>
      <c r="O612">
        <v>21</v>
      </c>
      <c r="P612">
        <v>5</v>
      </c>
      <c r="Q612">
        <v>966</v>
      </c>
      <c r="R612">
        <v>4</v>
      </c>
      <c r="S612" t="s">
        <v>4518</v>
      </c>
      <c r="T612" t="s">
        <v>4519</v>
      </c>
      <c r="U612" t="s">
        <v>333</v>
      </c>
      <c r="V612" t="s">
        <v>4520</v>
      </c>
      <c r="X612" t="s">
        <v>4522</v>
      </c>
      <c r="Y612" t="b">
        <f t="shared" si="9"/>
        <v>1</v>
      </c>
    </row>
    <row r="613" spans="1:25" hidden="1">
      <c r="A613" s="11" t="s">
        <v>9939</v>
      </c>
      <c r="B613" t="s">
        <v>16</v>
      </c>
      <c r="C613" s="2" t="s">
        <v>8346</v>
      </c>
      <c r="D613" t="s">
        <v>4524</v>
      </c>
      <c r="E613" t="s">
        <v>4523</v>
      </c>
      <c r="H613" t="s">
        <v>4528</v>
      </c>
      <c r="K613" t="s">
        <v>40</v>
      </c>
      <c r="M613" t="str">
        <f>"15571912"</f>
        <v>15571912</v>
      </c>
      <c r="N613" s="2" t="str">
        <f>"20111201"</f>
        <v>20111201</v>
      </c>
      <c r="O613">
        <v>13</v>
      </c>
      <c r="P613">
        <v>6</v>
      </c>
      <c r="Q613">
        <v>1013</v>
      </c>
      <c r="R613">
        <v>6</v>
      </c>
      <c r="S613" t="s">
        <v>4525</v>
      </c>
      <c r="T613" t="s">
        <v>4526</v>
      </c>
      <c r="U613" t="s">
        <v>42</v>
      </c>
      <c r="V613" t="s">
        <v>4527</v>
      </c>
      <c r="X613" t="s">
        <v>4529</v>
      </c>
      <c r="Y613" t="b">
        <f t="shared" si="9"/>
        <v>1</v>
      </c>
    </row>
    <row r="614" spans="1:25" hidden="1">
      <c r="A614" s="11" t="s">
        <v>9939</v>
      </c>
      <c r="B614" t="s">
        <v>16</v>
      </c>
      <c r="C614" s="2" t="s">
        <v>8340</v>
      </c>
      <c r="D614" t="s">
        <v>4531</v>
      </c>
      <c r="E614" t="s">
        <v>4530</v>
      </c>
      <c r="F614" s="20">
        <v>0</v>
      </c>
      <c r="G614" t="s">
        <v>9178</v>
      </c>
      <c r="H614" t="s">
        <v>4535</v>
      </c>
      <c r="K614" t="s">
        <v>40</v>
      </c>
      <c r="M614" t="str">
        <f>"15571912"</f>
        <v>15571912</v>
      </c>
      <c r="N614" s="2" t="str">
        <f>"20181001"</f>
        <v>20181001</v>
      </c>
      <c r="O614">
        <v>20</v>
      </c>
      <c r="P614">
        <v>5</v>
      </c>
      <c r="Q614">
        <v>1230</v>
      </c>
      <c r="R614">
        <v>6</v>
      </c>
      <c r="S614" t="s">
        <v>4532</v>
      </c>
      <c r="T614" t="s">
        <v>4533</v>
      </c>
      <c r="U614" t="s">
        <v>42</v>
      </c>
      <c r="V614" t="s">
        <v>4534</v>
      </c>
      <c r="X614" t="s">
        <v>4536</v>
      </c>
      <c r="Y614" t="b">
        <f t="shared" si="9"/>
        <v>0</v>
      </c>
    </row>
    <row r="615" spans="1:25" hidden="1">
      <c r="A615" s="11" t="s">
        <v>9939</v>
      </c>
      <c r="B615" t="s">
        <v>16</v>
      </c>
      <c r="C615" s="2" t="s">
        <v>8338</v>
      </c>
      <c r="D615" t="s">
        <v>4538</v>
      </c>
      <c r="E615" t="s">
        <v>4537</v>
      </c>
      <c r="F615" s="20">
        <v>0</v>
      </c>
      <c r="G615" t="s">
        <v>9178</v>
      </c>
      <c r="H615" t="s">
        <v>4542</v>
      </c>
      <c r="K615" t="s">
        <v>40</v>
      </c>
      <c r="M615" t="str">
        <f>"15571912"</f>
        <v>15571912</v>
      </c>
      <c r="N615" s="2" t="str">
        <f>"20060701"</f>
        <v>20060701</v>
      </c>
      <c r="O615">
        <v>8</v>
      </c>
      <c r="P615">
        <v>3</v>
      </c>
      <c r="Q615">
        <v>273</v>
      </c>
      <c r="R615">
        <v>8</v>
      </c>
      <c r="S615" t="s">
        <v>4539</v>
      </c>
      <c r="T615" t="s">
        <v>4540</v>
      </c>
      <c r="U615" t="s">
        <v>42</v>
      </c>
      <c r="V615" t="s">
        <v>4541</v>
      </c>
      <c r="X615" t="s">
        <v>4543</v>
      </c>
      <c r="Y615" t="b">
        <f t="shared" si="9"/>
        <v>0</v>
      </c>
    </row>
    <row r="616" spans="1:25">
      <c r="A616" s="11" t="s">
        <v>9939</v>
      </c>
      <c r="B616" t="s">
        <v>16</v>
      </c>
      <c r="C616" s="2" t="s">
        <v>8340</v>
      </c>
      <c r="D616" t="s">
        <v>4545</v>
      </c>
      <c r="E616" t="s">
        <v>4544</v>
      </c>
      <c r="F616" s="20">
        <v>1</v>
      </c>
      <c r="H616" t="s">
        <v>4549</v>
      </c>
      <c r="I616">
        <v>1</v>
      </c>
      <c r="K616" t="s">
        <v>1414</v>
      </c>
      <c r="M616" t="str">
        <f>"13557858"</f>
        <v>13557858</v>
      </c>
      <c r="N616" s="2" t="str">
        <f>"20180101"</f>
        <v>20180101</v>
      </c>
      <c r="O616">
        <v>23</v>
      </c>
      <c r="P616">
        <v>1</v>
      </c>
      <c r="Q616">
        <v>81</v>
      </c>
      <c r="R616">
        <v>16</v>
      </c>
      <c r="S616" t="s">
        <v>4546</v>
      </c>
      <c r="T616" t="s">
        <v>4547</v>
      </c>
      <c r="U616" t="s">
        <v>87</v>
      </c>
      <c r="V616" t="s">
        <v>4548</v>
      </c>
      <c r="X616" t="s">
        <v>4550</v>
      </c>
      <c r="Y616" t="b">
        <f t="shared" si="9"/>
        <v>0</v>
      </c>
    </row>
    <row r="617" spans="1:25">
      <c r="A617" s="11" t="s">
        <v>9939</v>
      </c>
      <c r="B617" t="s">
        <v>16</v>
      </c>
      <c r="C617" s="2" t="s">
        <v>8341</v>
      </c>
      <c r="D617" t="s">
        <v>4552</v>
      </c>
      <c r="E617" t="s">
        <v>4551</v>
      </c>
      <c r="F617" s="20">
        <v>1</v>
      </c>
      <c r="H617" t="s">
        <v>4556</v>
      </c>
      <c r="I617">
        <v>1</v>
      </c>
      <c r="K617" t="s">
        <v>40</v>
      </c>
      <c r="M617" t="str">
        <f>"15571912"</f>
        <v>15571912</v>
      </c>
      <c r="N617" s="2" t="str">
        <f>"20090601"</f>
        <v>20090601</v>
      </c>
      <c r="O617">
        <v>11</v>
      </c>
      <c r="P617">
        <v>3</v>
      </c>
      <c r="Q617">
        <v>168</v>
      </c>
      <c r="R617">
        <v>6</v>
      </c>
      <c r="S617" t="s">
        <v>4553</v>
      </c>
      <c r="T617" t="s">
        <v>4554</v>
      </c>
      <c r="U617" t="s">
        <v>42</v>
      </c>
      <c r="V617" t="s">
        <v>4555</v>
      </c>
      <c r="X617" t="s">
        <v>4557</v>
      </c>
      <c r="Y617" t="b">
        <f t="shared" si="9"/>
        <v>0</v>
      </c>
    </row>
    <row r="618" spans="1:25" hidden="1">
      <c r="A618" s="11" t="s">
        <v>9939</v>
      </c>
      <c r="B618" t="s">
        <v>69</v>
      </c>
      <c r="C618" s="2" t="s">
        <v>8341</v>
      </c>
      <c r="D618" t="s">
        <v>4559</v>
      </c>
      <c r="E618" t="s">
        <v>4558</v>
      </c>
      <c r="H618" t="s">
        <v>4562</v>
      </c>
      <c r="K618" t="s">
        <v>65</v>
      </c>
      <c r="L618" t="str">
        <f>"9780549655992"</f>
        <v>9780549655992</v>
      </c>
      <c r="M618" t="str">
        <f>"04194209"</f>
        <v>04194209</v>
      </c>
      <c r="N618" s="2" t="str">
        <f>"20090101"</f>
        <v>20090101</v>
      </c>
      <c r="O618">
        <v>69</v>
      </c>
      <c r="P618" t="s">
        <v>3500</v>
      </c>
      <c r="Q618">
        <v>2563</v>
      </c>
      <c r="R618">
        <v>1</v>
      </c>
      <c r="S618" t="s">
        <v>4560</v>
      </c>
      <c r="U618" t="s">
        <v>68</v>
      </c>
      <c r="V618" t="s">
        <v>4561</v>
      </c>
      <c r="X618" t="s">
        <v>4563</v>
      </c>
      <c r="Y618" t="b">
        <f t="shared" si="9"/>
        <v>1</v>
      </c>
    </row>
    <row r="619" spans="1:25">
      <c r="A619" s="11" t="s">
        <v>9939</v>
      </c>
      <c r="B619" t="s">
        <v>16</v>
      </c>
      <c r="C619" s="2" t="s">
        <v>8337</v>
      </c>
      <c r="D619" t="s">
        <v>4565</v>
      </c>
      <c r="E619" t="s">
        <v>4564</v>
      </c>
      <c r="F619" s="20">
        <v>1</v>
      </c>
      <c r="H619" t="s">
        <v>4570</v>
      </c>
      <c r="I619">
        <v>1</v>
      </c>
      <c r="K619" t="s">
        <v>4566</v>
      </c>
      <c r="M619" t="str">
        <f>"07417136"</f>
        <v>07417136</v>
      </c>
      <c r="N619" s="2" t="str">
        <f>"20130501"</f>
        <v>20130501</v>
      </c>
      <c r="O619">
        <v>63</v>
      </c>
      <c r="P619">
        <v>2</v>
      </c>
      <c r="Q619">
        <v>103</v>
      </c>
      <c r="R619">
        <v>24</v>
      </c>
      <c r="S619" t="s">
        <v>4567</v>
      </c>
      <c r="T619" t="s">
        <v>4568</v>
      </c>
      <c r="U619" t="s">
        <v>15</v>
      </c>
      <c r="V619" t="s">
        <v>4569</v>
      </c>
      <c r="X619" t="s">
        <v>4571</v>
      </c>
      <c r="Y619" t="b">
        <f t="shared" si="9"/>
        <v>0</v>
      </c>
    </row>
    <row r="620" spans="1:25" hidden="1">
      <c r="A620" s="11" t="s">
        <v>9939</v>
      </c>
      <c r="B620" t="s">
        <v>69</v>
      </c>
      <c r="C620" s="2" t="s">
        <v>8346</v>
      </c>
      <c r="D620" t="s">
        <v>4573</v>
      </c>
      <c r="E620" t="s">
        <v>4572</v>
      </c>
      <c r="H620" t="s">
        <v>4576</v>
      </c>
      <c r="K620" t="s">
        <v>65</v>
      </c>
      <c r="L620" t="str">
        <f>"9781124132464"</f>
        <v>9781124132464</v>
      </c>
      <c r="M620" t="str">
        <f>"04194209"</f>
        <v>04194209</v>
      </c>
      <c r="N620" s="2" t="str">
        <f>"20110101"</f>
        <v>20110101</v>
      </c>
      <c r="O620">
        <v>71</v>
      </c>
      <c r="P620" t="s">
        <v>2030</v>
      </c>
      <c r="Q620">
        <v>3427</v>
      </c>
      <c r="R620">
        <v>1</v>
      </c>
      <c r="S620" t="s">
        <v>4574</v>
      </c>
      <c r="U620" t="s">
        <v>68</v>
      </c>
      <c r="V620" t="s">
        <v>4575</v>
      </c>
      <c r="X620" t="s">
        <v>4577</v>
      </c>
      <c r="Y620" t="b">
        <f t="shared" si="9"/>
        <v>1</v>
      </c>
    </row>
    <row r="621" spans="1:25" hidden="1">
      <c r="A621" s="11" t="s">
        <v>9939</v>
      </c>
      <c r="B621" t="s">
        <v>69</v>
      </c>
      <c r="C621" s="2" t="s">
        <v>8341</v>
      </c>
      <c r="D621" t="s">
        <v>4579</v>
      </c>
      <c r="E621" t="s">
        <v>4578</v>
      </c>
      <c r="F621" s="20">
        <v>0</v>
      </c>
      <c r="G621" t="s">
        <v>9178</v>
      </c>
      <c r="H621" t="s">
        <v>4582</v>
      </c>
      <c r="K621" t="s">
        <v>65</v>
      </c>
      <c r="L621" t="str">
        <f>"9780549993773"</f>
        <v>9780549993773</v>
      </c>
      <c r="M621" t="str">
        <f>"04194209"</f>
        <v>04194209</v>
      </c>
      <c r="N621" s="2" t="str">
        <f>"20090101"</f>
        <v>20090101</v>
      </c>
      <c r="O621">
        <v>70</v>
      </c>
      <c r="P621" t="s">
        <v>3575</v>
      </c>
      <c r="Q621">
        <v>378</v>
      </c>
      <c r="R621">
        <v>1</v>
      </c>
      <c r="S621" t="s">
        <v>4580</v>
      </c>
      <c r="U621" t="s">
        <v>68</v>
      </c>
      <c r="V621" t="s">
        <v>4581</v>
      </c>
      <c r="X621" t="s">
        <v>4583</v>
      </c>
      <c r="Y621" t="b">
        <f t="shared" si="9"/>
        <v>0</v>
      </c>
    </row>
    <row r="622" spans="1:25">
      <c r="A622" s="11" t="s">
        <v>9939</v>
      </c>
      <c r="B622" t="s">
        <v>16</v>
      </c>
      <c r="C622" s="2" t="s">
        <v>8346</v>
      </c>
      <c r="D622" t="s">
        <v>4585</v>
      </c>
      <c r="E622" t="s">
        <v>4584</v>
      </c>
      <c r="F622" s="20">
        <v>1</v>
      </c>
      <c r="H622" t="s">
        <v>4589</v>
      </c>
      <c r="I622">
        <v>1</v>
      </c>
      <c r="K622" t="s">
        <v>40</v>
      </c>
      <c r="M622" t="str">
        <f>"15571912"</f>
        <v>15571912</v>
      </c>
      <c r="N622" s="2" t="str">
        <f>"20111001"</f>
        <v>20111001</v>
      </c>
      <c r="O622">
        <v>13</v>
      </c>
      <c r="P622">
        <v>5</v>
      </c>
      <c r="Q622">
        <v>849</v>
      </c>
      <c r="R622">
        <v>11</v>
      </c>
      <c r="S622" t="s">
        <v>4586</v>
      </c>
      <c r="T622" t="s">
        <v>4587</v>
      </c>
      <c r="U622" t="s">
        <v>42</v>
      </c>
      <c r="V622" t="s">
        <v>4588</v>
      </c>
      <c r="X622" t="s">
        <v>4590</v>
      </c>
      <c r="Y622" t="b">
        <f t="shared" si="9"/>
        <v>0</v>
      </c>
    </row>
    <row r="623" spans="1:25" hidden="1">
      <c r="A623" s="11" t="s">
        <v>9939</v>
      </c>
      <c r="B623" t="s">
        <v>16</v>
      </c>
      <c r="C623" s="2" t="s">
        <v>8340</v>
      </c>
      <c r="D623" t="s">
        <v>4592</v>
      </c>
      <c r="E623" t="s">
        <v>4591</v>
      </c>
      <c r="F623" s="20">
        <v>0</v>
      </c>
      <c r="G623" t="s">
        <v>9178</v>
      </c>
      <c r="H623" t="s">
        <v>4596</v>
      </c>
      <c r="K623" t="s">
        <v>40</v>
      </c>
      <c r="M623" t="str">
        <f>"15571912"</f>
        <v>15571912</v>
      </c>
      <c r="N623" s="2" t="str">
        <f>"20180801"</f>
        <v>20180801</v>
      </c>
      <c r="O623">
        <v>20</v>
      </c>
      <c r="P623">
        <v>4</v>
      </c>
      <c r="Q623">
        <v>981</v>
      </c>
      <c r="R623">
        <v>10</v>
      </c>
      <c r="S623" t="s">
        <v>4593</v>
      </c>
      <c r="T623" t="s">
        <v>4594</v>
      </c>
      <c r="U623" t="s">
        <v>42</v>
      </c>
      <c r="V623" t="s">
        <v>4595</v>
      </c>
      <c r="X623" t="s">
        <v>4597</v>
      </c>
      <c r="Y623" t="b">
        <f t="shared" si="9"/>
        <v>0</v>
      </c>
    </row>
    <row r="624" spans="1:25">
      <c r="A624" s="11" t="s">
        <v>9939</v>
      </c>
      <c r="B624" t="s">
        <v>69</v>
      </c>
      <c r="C624" s="2" t="s">
        <v>8349</v>
      </c>
      <c r="D624" t="s">
        <v>4599</v>
      </c>
      <c r="E624" t="s">
        <v>4598</v>
      </c>
      <c r="F624" s="20">
        <v>1</v>
      </c>
      <c r="H624" t="s">
        <v>4603</v>
      </c>
      <c r="I624">
        <v>1</v>
      </c>
      <c r="K624" t="s">
        <v>101</v>
      </c>
      <c r="L624" t="str">
        <f>"9781392067956"</f>
        <v>9781392067956</v>
      </c>
      <c r="M624" t="str">
        <f>"04194217"</f>
        <v>04194217</v>
      </c>
      <c r="N624" s="2" t="str">
        <f>"20190101"</f>
        <v>20190101</v>
      </c>
      <c r="O624">
        <v>80</v>
      </c>
      <c r="P624" t="s">
        <v>4600</v>
      </c>
      <c r="S624" t="s">
        <v>4601</v>
      </c>
      <c r="U624" t="s">
        <v>68</v>
      </c>
      <c r="V624" t="s">
        <v>4602</v>
      </c>
      <c r="X624" t="s">
        <v>4604</v>
      </c>
      <c r="Y624" t="b">
        <f t="shared" si="9"/>
        <v>0</v>
      </c>
    </row>
    <row r="625" spans="1:25">
      <c r="A625" s="11" t="s">
        <v>9939</v>
      </c>
      <c r="B625" t="s">
        <v>16</v>
      </c>
      <c r="C625" s="2" t="s">
        <v>8337</v>
      </c>
      <c r="D625" t="s">
        <v>4606</v>
      </c>
      <c r="E625" t="s">
        <v>4605</v>
      </c>
      <c r="F625" s="20">
        <v>1</v>
      </c>
      <c r="H625" t="s">
        <v>4610</v>
      </c>
      <c r="I625">
        <v>0</v>
      </c>
      <c r="J625" t="s">
        <v>9178</v>
      </c>
      <c r="K625" t="s">
        <v>40</v>
      </c>
      <c r="M625" t="str">
        <f>"15571912"</f>
        <v>15571912</v>
      </c>
      <c r="N625" s="2" t="str">
        <f>"20130201"</f>
        <v>20130201</v>
      </c>
      <c r="O625">
        <v>15</v>
      </c>
      <c r="P625">
        <v>1</v>
      </c>
      <c r="Q625">
        <v>125</v>
      </c>
      <c r="R625">
        <v>7</v>
      </c>
      <c r="S625" t="s">
        <v>4607</v>
      </c>
      <c r="T625" t="s">
        <v>4608</v>
      </c>
      <c r="U625" t="s">
        <v>42</v>
      </c>
      <c r="V625" t="s">
        <v>4609</v>
      </c>
      <c r="X625" t="s">
        <v>4611</v>
      </c>
      <c r="Y625" t="b">
        <f t="shared" si="9"/>
        <v>0</v>
      </c>
    </row>
    <row r="626" spans="1:25">
      <c r="A626" s="11" t="s">
        <v>9939</v>
      </c>
      <c r="B626" t="s">
        <v>16</v>
      </c>
      <c r="C626" s="2" t="s">
        <v>8335</v>
      </c>
      <c r="D626" t="s">
        <v>4613</v>
      </c>
      <c r="E626" t="s">
        <v>4612</v>
      </c>
      <c r="F626" s="20">
        <v>1</v>
      </c>
      <c r="H626" t="s">
        <v>4617</v>
      </c>
      <c r="I626">
        <v>1</v>
      </c>
      <c r="K626" t="s">
        <v>648</v>
      </c>
      <c r="M626" t="str">
        <f>"13676261"</f>
        <v>13676261</v>
      </c>
      <c r="N626" s="2" t="str">
        <f>"20041201"</f>
        <v>20041201</v>
      </c>
      <c r="O626">
        <v>7</v>
      </c>
      <c r="P626">
        <v>4</v>
      </c>
      <c r="Q626">
        <v>433</v>
      </c>
      <c r="R626">
        <v>17</v>
      </c>
      <c r="S626" t="s">
        <v>4614</v>
      </c>
      <c r="T626" t="s">
        <v>4615</v>
      </c>
      <c r="U626" t="s">
        <v>87</v>
      </c>
      <c r="V626" t="s">
        <v>4616</v>
      </c>
      <c r="X626" t="s">
        <v>4618</v>
      </c>
      <c r="Y626" t="b">
        <f t="shared" si="9"/>
        <v>0</v>
      </c>
    </row>
    <row r="627" spans="1:25" hidden="1">
      <c r="A627" s="11" t="s">
        <v>9939</v>
      </c>
      <c r="B627" t="s">
        <v>16</v>
      </c>
      <c r="C627" s="2" t="s">
        <v>8339</v>
      </c>
      <c r="D627" t="s">
        <v>4620</v>
      </c>
      <c r="E627" t="s">
        <v>4619</v>
      </c>
      <c r="H627" t="s">
        <v>4624</v>
      </c>
      <c r="K627" t="s">
        <v>3421</v>
      </c>
      <c r="M627" t="str">
        <f>"10105395"</f>
        <v>10105395</v>
      </c>
      <c r="N627" s="2" t="str">
        <f>"20151001"</f>
        <v>20151001</v>
      </c>
      <c r="O627">
        <v>27</v>
      </c>
      <c r="P627">
        <v>7</v>
      </c>
      <c r="Q627">
        <v>775</v>
      </c>
      <c r="R627">
        <v>10</v>
      </c>
      <c r="S627" t="s">
        <v>4621</v>
      </c>
      <c r="T627" t="s">
        <v>4622</v>
      </c>
      <c r="U627" t="s">
        <v>15</v>
      </c>
      <c r="V627" t="s">
        <v>4623</v>
      </c>
      <c r="X627" t="s">
        <v>4625</v>
      </c>
      <c r="Y627" t="b">
        <f t="shared" si="9"/>
        <v>1</v>
      </c>
    </row>
    <row r="628" spans="1:25" hidden="1">
      <c r="A628" s="11" t="s">
        <v>9939</v>
      </c>
      <c r="B628" t="s">
        <v>16</v>
      </c>
      <c r="C628" s="2" t="s">
        <v>8348</v>
      </c>
      <c r="D628" t="s">
        <v>4627</v>
      </c>
      <c r="E628" t="s">
        <v>4626</v>
      </c>
      <c r="F628" s="20">
        <v>0</v>
      </c>
      <c r="G628" t="s">
        <v>9178</v>
      </c>
      <c r="H628" t="s">
        <v>4631</v>
      </c>
      <c r="K628" t="s">
        <v>1065</v>
      </c>
      <c r="M628" t="str">
        <f>"08862605"</f>
        <v>08862605</v>
      </c>
      <c r="N628" s="2" t="str">
        <f>"20050801"</f>
        <v>20050801</v>
      </c>
      <c r="O628">
        <v>20</v>
      </c>
      <c r="P628">
        <v>8</v>
      </c>
      <c r="Q628">
        <v>959</v>
      </c>
      <c r="R628">
        <v>18</v>
      </c>
      <c r="S628" t="s">
        <v>4628</v>
      </c>
      <c r="T628" t="s">
        <v>4629</v>
      </c>
      <c r="U628" t="s">
        <v>15</v>
      </c>
      <c r="V628" t="s">
        <v>4630</v>
      </c>
      <c r="X628" t="s">
        <v>4632</v>
      </c>
      <c r="Y628" t="b">
        <f t="shared" si="9"/>
        <v>0</v>
      </c>
    </row>
    <row r="629" spans="1:25">
      <c r="A629" s="11" t="s">
        <v>9939</v>
      </c>
      <c r="B629" t="s">
        <v>16</v>
      </c>
      <c r="C629" s="2" t="s">
        <v>8334</v>
      </c>
      <c r="D629" t="s">
        <v>4634</v>
      </c>
      <c r="E629" t="s">
        <v>4633</v>
      </c>
      <c r="F629" s="20">
        <v>1</v>
      </c>
      <c r="H629" t="s">
        <v>4639</v>
      </c>
      <c r="I629">
        <v>1</v>
      </c>
      <c r="K629" t="s">
        <v>4635</v>
      </c>
      <c r="M629" t="str">
        <f>"10409289"</f>
        <v>10409289</v>
      </c>
      <c r="N629" s="2" t="str">
        <f>"20140801"</f>
        <v>20140801</v>
      </c>
      <c r="O629">
        <v>25</v>
      </c>
      <c r="P629">
        <v>6</v>
      </c>
      <c r="Q629">
        <v>915</v>
      </c>
      <c r="R629">
        <v>17</v>
      </c>
      <c r="S629" t="s">
        <v>4636</v>
      </c>
      <c r="T629" t="s">
        <v>4637</v>
      </c>
      <c r="U629" t="s">
        <v>87</v>
      </c>
      <c r="V629" t="s">
        <v>4638</v>
      </c>
      <c r="X629" t="s">
        <v>4640</v>
      </c>
      <c r="Y629" t="b">
        <f t="shared" si="9"/>
        <v>0</v>
      </c>
    </row>
    <row r="630" spans="1:25">
      <c r="A630" s="11" t="s">
        <v>9939</v>
      </c>
      <c r="B630" t="s">
        <v>16</v>
      </c>
      <c r="C630" s="2" t="s">
        <v>8346</v>
      </c>
      <c r="D630" t="s">
        <v>4642</v>
      </c>
      <c r="E630" t="s">
        <v>4641</v>
      </c>
      <c r="F630" s="20">
        <v>1</v>
      </c>
      <c r="H630" t="s">
        <v>4646</v>
      </c>
      <c r="I630">
        <v>1</v>
      </c>
      <c r="K630" t="s">
        <v>1472</v>
      </c>
      <c r="M630" t="str">
        <f>"07380151"</f>
        <v>07380151</v>
      </c>
      <c r="N630" s="2" t="str">
        <f>"20110601"</f>
        <v>20110601</v>
      </c>
      <c r="O630">
        <v>28</v>
      </c>
      <c r="P630">
        <v>3</v>
      </c>
      <c r="Q630">
        <v>203</v>
      </c>
      <c r="R630">
        <v>26</v>
      </c>
      <c r="S630" t="s">
        <v>4643</v>
      </c>
      <c r="T630" t="s">
        <v>4644</v>
      </c>
      <c r="U630" t="s">
        <v>42</v>
      </c>
      <c r="V630" t="s">
        <v>4645</v>
      </c>
      <c r="X630" t="s">
        <v>4647</v>
      </c>
      <c r="Y630" t="b">
        <f t="shared" si="9"/>
        <v>0</v>
      </c>
    </row>
    <row r="631" spans="1:25" hidden="1">
      <c r="A631" s="11" t="s">
        <v>9939</v>
      </c>
      <c r="B631" t="s">
        <v>16</v>
      </c>
      <c r="C631" s="2" t="s">
        <v>8334</v>
      </c>
      <c r="D631" t="s">
        <v>4649</v>
      </c>
      <c r="E631" t="s">
        <v>4648</v>
      </c>
      <c r="F631" s="20">
        <v>0</v>
      </c>
      <c r="G631" t="s">
        <v>9249</v>
      </c>
      <c r="H631" t="s">
        <v>4654</v>
      </c>
      <c r="K631" t="s">
        <v>4650</v>
      </c>
      <c r="M631" t="str">
        <f>"01672681"</f>
        <v>01672681</v>
      </c>
      <c r="N631" s="2" t="str">
        <f>"20140901"</f>
        <v>20140901</v>
      </c>
      <c r="O631">
        <v>105</v>
      </c>
      <c r="Q631">
        <v>30</v>
      </c>
      <c r="R631">
        <v>21</v>
      </c>
      <c r="S631" t="s">
        <v>4651</v>
      </c>
      <c r="T631" t="s">
        <v>4652</v>
      </c>
      <c r="U631" t="s">
        <v>34</v>
      </c>
      <c r="V631" t="s">
        <v>4653</v>
      </c>
      <c r="X631" t="s">
        <v>4655</v>
      </c>
      <c r="Y631" t="b">
        <f t="shared" si="9"/>
        <v>0</v>
      </c>
    </row>
    <row r="632" spans="1:25">
      <c r="A632" s="11" t="s">
        <v>9939</v>
      </c>
      <c r="B632" t="s">
        <v>16</v>
      </c>
      <c r="C632" s="2" t="s">
        <v>8340</v>
      </c>
      <c r="D632" t="s">
        <v>4657</v>
      </c>
      <c r="E632" t="s">
        <v>4656</v>
      </c>
      <c r="F632" s="20">
        <v>1</v>
      </c>
      <c r="H632" t="s">
        <v>4661</v>
      </c>
      <c r="I632">
        <v>1</v>
      </c>
      <c r="K632" t="s">
        <v>1678</v>
      </c>
      <c r="M632" t="str">
        <f>"00221465"</f>
        <v>00221465</v>
      </c>
      <c r="N632" s="2" t="str">
        <f>"20180601"</f>
        <v>20180601</v>
      </c>
      <c r="O632">
        <v>59</v>
      </c>
      <c r="P632">
        <v>2</v>
      </c>
      <c r="Q632">
        <v>215</v>
      </c>
      <c r="R632">
        <v>16</v>
      </c>
      <c r="S632" t="s">
        <v>4658</v>
      </c>
      <c r="T632" t="s">
        <v>4659</v>
      </c>
      <c r="U632" t="s">
        <v>15</v>
      </c>
      <c r="V632" t="s">
        <v>4660</v>
      </c>
      <c r="X632" t="s">
        <v>4662</v>
      </c>
      <c r="Y632" t="b">
        <f t="shared" si="9"/>
        <v>0</v>
      </c>
    </row>
    <row r="633" spans="1:25">
      <c r="A633" s="11" t="s">
        <v>9939</v>
      </c>
      <c r="B633" t="s">
        <v>16</v>
      </c>
      <c r="C633" s="2" t="s">
        <v>8342</v>
      </c>
      <c r="D633" t="s">
        <v>4664</v>
      </c>
      <c r="E633" t="s">
        <v>4663</v>
      </c>
      <c r="F633" s="20">
        <v>1</v>
      </c>
      <c r="H633" t="s">
        <v>4669</v>
      </c>
      <c r="I633">
        <v>0</v>
      </c>
      <c r="J633" t="s">
        <v>9178</v>
      </c>
      <c r="K633" t="s">
        <v>4665</v>
      </c>
      <c r="M633" t="str">
        <f>"00224405"</f>
        <v>00224405</v>
      </c>
      <c r="N633" s="2" t="str">
        <f>"20120401"</f>
        <v>20120401</v>
      </c>
      <c r="O633">
        <v>50</v>
      </c>
      <c r="P633">
        <v>2</v>
      </c>
      <c r="Q633">
        <v>195</v>
      </c>
      <c r="R633">
        <v>19</v>
      </c>
      <c r="S633" t="s">
        <v>4666</v>
      </c>
      <c r="T633" t="s">
        <v>4667</v>
      </c>
      <c r="U633" t="s">
        <v>34</v>
      </c>
      <c r="V633" t="s">
        <v>4668</v>
      </c>
      <c r="X633" t="s">
        <v>4670</v>
      </c>
      <c r="Y633" t="b">
        <f t="shared" si="9"/>
        <v>0</v>
      </c>
    </row>
    <row r="634" spans="1:25">
      <c r="A634" s="11" t="s">
        <v>9939</v>
      </c>
      <c r="B634" t="s">
        <v>16</v>
      </c>
      <c r="C634" s="2" t="s">
        <v>8337</v>
      </c>
      <c r="D634" t="s">
        <v>4672</v>
      </c>
      <c r="E634" t="s">
        <v>4671</v>
      </c>
      <c r="F634" s="20">
        <v>1</v>
      </c>
      <c r="H634" t="s">
        <v>4676</v>
      </c>
      <c r="I634">
        <v>0</v>
      </c>
      <c r="J634" t="s">
        <v>9178</v>
      </c>
      <c r="K634" t="s">
        <v>3061</v>
      </c>
      <c r="M634" t="str">
        <f>"15579883"</f>
        <v>15579883</v>
      </c>
      <c r="N634" s="2" t="str">
        <f>"20130301"</f>
        <v>20130301</v>
      </c>
      <c r="O634">
        <v>7</v>
      </c>
      <c r="P634">
        <v>2</v>
      </c>
      <c r="Q634">
        <v>142</v>
      </c>
      <c r="R634">
        <v>13</v>
      </c>
      <c r="S634" t="s">
        <v>4673</v>
      </c>
      <c r="T634" t="s">
        <v>4674</v>
      </c>
      <c r="U634" t="s">
        <v>15</v>
      </c>
      <c r="V634" t="s">
        <v>4675</v>
      </c>
      <c r="X634" t="s">
        <v>4677</v>
      </c>
      <c r="Y634" t="b">
        <f t="shared" si="9"/>
        <v>0</v>
      </c>
    </row>
    <row r="635" spans="1:25" hidden="1">
      <c r="A635" s="11" t="s">
        <v>9939</v>
      </c>
      <c r="B635" t="s">
        <v>16</v>
      </c>
      <c r="C635" s="2" t="s">
        <v>8344</v>
      </c>
      <c r="D635" t="s">
        <v>4679</v>
      </c>
      <c r="E635" t="s">
        <v>4678</v>
      </c>
      <c r="H635" t="s">
        <v>4685</v>
      </c>
      <c r="K635" t="s">
        <v>4680</v>
      </c>
      <c r="M635" t="str">
        <f>"10795014"</f>
        <v>10795014</v>
      </c>
      <c r="N635" s="2" t="str">
        <f>"20100101"</f>
        <v>20100101</v>
      </c>
      <c r="O635" t="s">
        <v>4681</v>
      </c>
      <c r="P635">
        <v>1</v>
      </c>
      <c r="Q635">
        <v>14</v>
      </c>
      <c r="R635">
        <v>8</v>
      </c>
      <c r="S635" t="s">
        <v>4682</v>
      </c>
      <c r="T635" t="s">
        <v>4683</v>
      </c>
      <c r="U635" t="s">
        <v>675</v>
      </c>
      <c r="V635" t="s">
        <v>4684</v>
      </c>
      <c r="X635" t="s">
        <v>4686</v>
      </c>
      <c r="Y635" t="b">
        <f t="shared" si="9"/>
        <v>1</v>
      </c>
    </row>
    <row r="636" spans="1:25" hidden="1">
      <c r="A636" s="11" t="s">
        <v>9939</v>
      </c>
      <c r="B636" t="s">
        <v>16</v>
      </c>
      <c r="C636" s="2" t="s">
        <v>8338</v>
      </c>
      <c r="D636" t="s">
        <v>4688</v>
      </c>
      <c r="E636" t="s">
        <v>4687</v>
      </c>
      <c r="F636" s="20">
        <v>0</v>
      </c>
      <c r="G636" t="s">
        <v>9249</v>
      </c>
      <c r="H636" t="s">
        <v>4692</v>
      </c>
      <c r="K636" t="s">
        <v>260</v>
      </c>
      <c r="M636" t="str">
        <f>"07399332"</f>
        <v>07399332</v>
      </c>
      <c r="N636" s="2" t="str">
        <f>"20060901"</f>
        <v>20060901</v>
      </c>
      <c r="O636">
        <v>27</v>
      </c>
      <c r="P636">
        <v>8</v>
      </c>
      <c r="Q636">
        <v>695</v>
      </c>
      <c r="R636">
        <v>14</v>
      </c>
      <c r="S636" t="s">
        <v>4689</v>
      </c>
      <c r="T636" t="s">
        <v>4690</v>
      </c>
      <c r="U636" t="s">
        <v>87</v>
      </c>
      <c r="V636" t="s">
        <v>4691</v>
      </c>
      <c r="X636" t="s">
        <v>4693</v>
      </c>
      <c r="Y636" t="b">
        <f t="shared" si="9"/>
        <v>0</v>
      </c>
    </row>
    <row r="637" spans="1:25">
      <c r="A637" s="11" t="s">
        <v>9939</v>
      </c>
      <c r="B637" t="s">
        <v>16</v>
      </c>
      <c r="C637" s="2" t="s">
        <v>8336</v>
      </c>
      <c r="D637" t="s">
        <v>1436</v>
      </c>
      <c r="E637" t="s">
        <v>4694</v>
      </c>
      <c r="F637">
        <v>1</v>
      </c>
      <c r="H637" t="s">
        <v>4698</v>
      </c>
      <c r="I637">
        <v>1</v>
      </c>
      <c r="K637" t="s">
        <v>132</v>
      </c>
      <c r="M637" t="str">
        <f>"01471767"</f>
        <v>01471767</v>
      </c>
      <c r="N637" s="2" t="str">
        <f>"20071101"</f>
        <v>20071101</v>
      </c>
      <c r="O637">
        <v>31</v>
      </c>
      <c r="P637">
        <v>6</v>
      </c>
      <c r="Q637">
        <v>761</v>
      </c>
      <c r="R637">
        <v>18</v>
      </c>
      <c r="S637" t="s">
        <v>4695</v>
      </c>
      <c r="T637" t="s">
        <v>4696</v>
      </c>
      <c r="U637" t="s">
        <v>34</v>
      </c>
      <c r="V637" t="s">
        <v>4697</v>
      </c>
      <c r="X637" t="s">
        <v>4699</v>
      </c>
      <c r="Y637" t="b">
        <f t="shared" si="9"/>
        <v>0</v>
      </c>
    </row>
    <row r="638" spans="1:25" hidden="1">
      <c r="A638" s="11" t="s">
        <v>9939</v>
      </c>
      <c r="B638" t="s">
        <v>16</v>
      </c>
      <c r="C638" s="2" t="s">
        <v>8334</v>
      </c>
      <c r="D638" t="s">
        <v>4701</v>
      </c>
      <c r="E638" t="s">
        <v>4700</v>
      </c>
      <c r="F638" s="20">
        <v>0</v>
      </c>
      <c r="G638" t="s">
        <v>9249</v>
      </c>
      <c r="H638" t="s">
        <v>4706</v>
      </c>
      <c r="K638" t="s">
        <v>4702</v>
      </c>
      <c r="M638" t="str">
        <f>"03603989"</f>
        <v>03603989</v>
      </c>
      <c r="N638" s="2" t="str">
        <f>"20140401"</f>
        <v>20140401</v>
      </c>
      <c r="O638">
        <v>40</v>
      </c>
      <c r="P638">
        <v>2</v>
      </c>
      <c r="Q638">
        <v>188</v>
      </c>
      <c r="R638">
        <v>21</v>
      </c>
      <c r="S638" t="s">
        <v>4703</v>
      </c>
      <c r="T638" t="s">
        <v>4704</v>
      </c>
      <c r="U638" t="s">
        <v>730</v>
      </c>
      <c r="V638" t="s">
        <v>4705</v>
      </c>
      <c r="X638" t="s">
        <v>4707</v>
      </c>
      <c r="Y638" t="b">
        <f t="shared" si="9"/>
        <v>0</v>
      </c>
    </row>
    <row r="639" spans="1:25" hidden="1">
      <c r="A639" s="11" t="s">
        <v>9939</v>
      </c>
      <c r="B639" t="s">
        <v>16</v>
      </c>
      <c r="C639" s="2" t="s">
        <v>8335</v>
      </c>
      <c r="D639" t="s">
        <v>4709</v>
      </c>
      <c r="E639" t="s">
        <v>4708</v>
      </c>
      <c r="F639" s="20">
        <v>0</v>
      </c>
      <c r="G639" t="s">
        <v>9178</v>
      </c>
      <c r="H639" t="s">
        <v>4713</v>
      </c>
      <c r="K639" t="s">
        <v>485</v>
      </c>
      <c r="M639" t="str">
        <f>"10964045"</f>
        <v>10964045</v>
      </c>
      <c r="N639" s="2" t="str">
        <f>"20041001"</f>
        <v>20041001</v>
      </c>
      <c r="O639">
        <v>6</v>
      </c>
      <c r="P639">
        <v>4</v>
      </c>
      <c r="Q639">
        <v>155</v>
      </c>
      <c r="R639">
        <v>11</v>
      </c>
      <c r="S639" t="s">
        <v>4710</v>
      </c>
      <c r="T639" t="s">
        <v>4711</v>
      </c>
      <c r="U639" t="s">
        <v>42</v>
      </c>
      <c r="V639" t="s">
        <v>4712</v>
      </c>
      <c r="X639" t="s">
        <v>4714</v>
      </c>
      <c r="Y639" t="b">
        <f t="shared" si="9"/>
        <v>0</v>
      </c>
    </row>
    <row r="640" spans="1:25">
      <c r="A640" s="11" t="s">
        <v>9939</v>
      </c>
      <c r="B640" t="s">
        <v>395</v>
      </c>
      <c r="C640" s="2" t="s">
        <v>8334</v>
      </c>
      <c r="D640" t="s">
        <v>4716</v>
      </c>
      <c r="E640" t="s">
        <v>4715</v>
      </c>
      <c r="F640" s="20">
        <v>1</v>
      </c>
      <c r="H640" t="s">
        <v>4719</v>
      </c>
      <c r="I640">
        <v>0</v>
      </c>
      <c r="J640" t="s">
        <v>9178</v>
      </c>
      <c r="K640" t="s">
        <v>392</v>
      </c>
      <c r="L640" t="str">
        <f>"9781633213470; 9781633213487"</f>
        <v>9781633213470; 9781633213487</v>
      </c>
      <c r="N640" s="2" t="str">
        <f>"20140101"</f>
        <v>20140101</v>
      </c>
      <c r="Q640">
        <v>181</v>
      </c>
      <c r="R640">
        <v>13</v>
      </c>
      <c r="S640" t="s">
        <v>4717</v>
      </c>
      <c r="U640" t="s">
        <v>394</v>
      </c>
      <c r="V640" t="s">
        <v>4718</v>
      </c>
      <c r="X640" t="s">
        <v>4720</v>
      </c>
      <c r="Y640" t="b">
        <f t="shared" si="9"/>
        <v>0</v>
      </c>
    </row>
    <row r="641" spans="1:25">
      <c r="A641" s="11" t="s">
        <v>9939</v>
      </c>
      <c r="B641" t="s">
        <v>16</v>
      </c>
      <c r="C641" s="2" t="s">
        <v>8344</v>
      </c>
      <c r="D641" t="s">
        <v>4722</v>
      </c>
      <c r="E641" t="s">
        <v>4721</v>
      </c>
      <c r="F641" s="20">
        <v>1</v>
      </c>
      <c r="H641" t="s">
        <v>4726</v>
      </c>
      <c r="I641">
        <v>1</v>
      </c>
      <c r="K641" t="s">
        <v>140</v>
      </c>
      <c r="M641" t="str">
        <f>"02779536"</f>
        <v>02779536</v>
      </c>
      <c r="N641" s="2" t="str">
        <f>"20101001"</f>
        <v>20101001</v>
      </c>
      <c r="O641">
        <v>71</v>
      </c>
      <c r="P641">
        <v>8</v>
      </c>
      <c r="Q641">
        <v>1399</v>
      </c>
      <c r="R641">
        <v>10</v>
      </c>
      <c r="S641" t="s">
        <v>4723</v>
      </c>
      <c r="T641" t="s">
        <v>4724</v>
      </c>
      <c r="U641" t="s">
        <v>34</v>
      </c>
      <c r="V641" t="s">
        <v>4725</v>
      </c>
      <c r="X641" t="s">
        <v>4727</v>
      </c>
      <c r="Y641" t="b">
        <f t="shared" si="9"/>
        <v>0</v>
      </c>
    </row>
    <row r="642" spans="1:25">
      <c r="A642" s="11" t="s">
        <v>9939</v>
      </c>
      <c r="B642" t="s">
        <v>16</v>
      </c>
      <c r="C642" s="2" t="s">
        <v>8349</v>
      </c>
      <c r="D642" t="s">
        <v>4729</v>
      </c>
      <c r="E642" t="s">
        <v>4728</v>
      </c>
      <c r="F642" s="20">
        <v>1</v>
      </c>
      <c r="H642" t="s">
        <v>4733</v>
      </c>
      <c r="I642">
        <v>1</v>
      </c>
      <c r="J642" t="s">
        <v>9952</v>
      </c>
      <c r="K642" t="s">
        <v>3053</v>
      </c>
      <c r="M642" t="str">
        <f>"00220167"</f>
        <v>00220167</v>
      </c>
      <c r="N642" s="2" t="str">
        <f>"20191101"</f>
        <v>20191101</v>
      </c>
      <c r="O642">
        <v>66</v>
      </c>
      <c r="P642">
        <v>6</v>
      </c>
      <c r="Q642">
        <v>665</v>
      </c>
      <c r="R642">
        <v>13</v>
      </c>
      <c r="S642" t="s">
        <v>4730</v>
      </c>
      <c r="T642" t="s">
        <v>4731</v>
      </c>
      <c r="U642" t="s">
        <v>59</v>
      </c>
      <c r="V642" t="s">
        <v>4732</v>
      </c>
      <c r="X642" t="s">
        <v>4734</v>
      </c>
      <c r="Y642" t="b">
        <f t="shared" ref="Y642:Y705" si="10">COUNTIF(X:X, X642)&gt;1</f>
        <v>0</v>
      </c>
    </row>
    <row r="643" spans="1:25">
      <c r="A643" s="11" t="s">
        <v>9939</v>
      </c>
      <c r="B643" t="s">
        <v>16</v>
      </c>
      <c r="C643" s="2" t="s">
        <v>8353</v>
      </c>
      <c r="D643" t="s">
        <v>4736</v>
      </c>
      <c r="E643" t="s">
        <v>4735</v>
      </c>
      <c r="F643" s="20">
        <v>1</v>
      </c>
      <c r="H643" t="s">
        <v>4740</v>
      </c>
      <c r="I643">
        <v>1</v>
      </c>
      <c r="K643" t="s">
        <v>1029</v>
      </c>
      <c r="M643" t="str">
        <f>"01401971"</f>
        <v>01401971</v>
      </c>
      <c r="N643" s="2" t="str">
        <f>"20160201"</f>
        <v>20160201</v>
      </c>
      <c r="O643">
        <v>47</v>
      </c>
      <c r="Q643">
        <v>5</v>
      </c>
      <c r="R643">
        <v>11</v>
      </c>
      <c r="S643" t="s">
        <v>4737</v>
      </c>
      <c r="T643" t="s">
        <v>4738</v>
      </c>
      <c r="U643" t="s">
        <v>34</v>
      </c>
      <c r="V643" t="s">
        <v>4739</v>
      </c>
      <c r="X643" t="s">
        <v>4741</v>
      </c>
      <c r="Y643" t="b">
        <f t="shared" si="10"/>
        <v>0</v>
      </c>
    </row>
    <row r="644" spans="1:25">
      <c r="A644" s="11" t="s">
        <v>9939</v>
      </c>
      <c r="B644" t="s">
        <v>16</v>
      </c>
      <c r="C644" s="2" t="s">
        <v>8340</v>
      </c>
      <c r="D644" t="s">
        <v>4743</v>
      </c>
      <c r="E644" t="s">
        <v>4742</v>
      </c>
      <c r="F644" s="20">
        <v>1</v>
      </c>
      <c r="H644" t="s">
        <v>4748</v>
      </c>
      <c r="I644">
        <v>1</v>
      </c>
      <c r="K644" t="s">
        <v>4744</v>
      </c>
      <c r="M644" t="str">
        <f>"09545794"</f>
        <v>09545794</v>
      </c>
      <c r="N644" s="2" t="str">
        <f>"20181201"</f>
        <v>20181201</v>
      </c>
      <c r="O644">
        <v>30</v>
      </c>
      <c r="P644">
        <v>5</v>
      </c>
      <c r="Q644">
        <v>1849</v>
      </c>
      <c r="R644">
        <v>18</v>
      </c>
      <c r="S644" t="s">
        <v>4745</v>
      </c>
      <c r="T644" t="s">
        <v>4746</v>
      </c>
      <c r="U644" t="s">
        <v>333</v>
      </c>
      <c r="V644" t="s">
        <v>4747</v>
      </c>
      <c r="X644" t="s">
        <v>4749</v>
      </c>
      <c r="Y644" t="b">
        <f t="shared" si="10"/>
        <v>0</v>
      </c>
    </row>
    <row r="645" spans="1:25">
      <c r="A645" s="11" t="s">
        <v>9939</v>
      </c>
      <c r="B645" t="s">
        <v>16</v>
      </c>
      <c r="C645" s="2" t="s">
        <v>8353</v>
      </c>
      <c r="D645" t="s">
        <v>4751</v>
      </c>
      <c r="E645" t="s">
        <v>4750</v>
      </c>
      <c r="F645" s="20">
        <v>1</v>
      </c>
      <c r="H645" t="s">
        <v>4756</v>
      </c>
      <c r="I645">
        <v>1</v>
      </c>
      <c r="K645" t="s">
        <v>4752</v>
      </c>
      <c r="M645" t="str">
        <f>"07350414"</f>
        <v>07350414</v>
      </c>
      <c r="N645" s="2" t="str">
        <f>"20161101"</f>
        <v>20161101</v>
      </c>
      <c r="O645">
        <v>51</v>
      </c>
      <c r="P645">
        <v>6</v>
      </c>
      <c r="Q645">
        <v>702</v>
      </c>
      <c r="R645">
        <v>8</v>
      </c>
      <c r="S645" t="s">
        <v>4753</v>
      </c>
      <c r="T645" t="s">
        <v>4754</v>
      </c>
      <c r="U645" t="s">
        <v>675</v>
      </c>
      <c r="V645" t="s">
        <v>4755</v>
      </c>
      <c r="X645" t="s">
        <v>4757</v>
      </c>
      <c r="Y645" t="b">
        <f t="shared" si="10"/>
        <v>0</v>
      </c>
    </row>
    <row r="646" spans="1:25">
      <c r="A646" s="11" t="s">
        <v>9939</v>
      </c>
      <c r="B646" t="s">
        <v>16</v>
      </c>
      <c r="C646" s="2" t="s">
        <v>8353</v>
      </c>
      <c r="D646" t="s">
        <v>4759</v>
      </c>
      <c r="E646" t="s">
        <v>4758</v>
      </c>
      <c r="F646" s="20">
        <v>1</v>
      </c>
      <c r="H646" t="s">
        <v>4764</v>
      </c>
      <c r="I646">
        <v>1</v>
      </c>
      <c r="K646" t="s">
        <v>4760</v>
      </c>
      <c r="M646" t="str">
        <f>"10783903"</f>
        <v>10783903</v>
      </c>
      <c r="N646" s="2" t="str">
        <f>"20160901"</f>
        <v>20160901</v>
      </c>
      <c r="O646">
        <v>22</v>
      </c>
      <c r="P646">
        <v>5</v>
      </c>
      <c r="Q646">
        <v>368</v>
      </c>
      <c r="R646">
        <v>10</v>
      </c>
      <c r="S646" t="s">
        <v>4761</v>
      </c>
      <c r="T646" t="s">
        <v>4762</v>
      </c>
      <c r="U646" t="s">
        <v>15</v>
      </c>
      <c r="V646" t="s">
        <v>4763</v>
      </c>
      <c r="X646" t="s">
        <v>4765</v>
      </c>
      <c r="Y646" t="b">
        <f t="shared" si="10"/>
        <v>0</v>
      </c>
    </row>
    <row r="647" spans="1:25">
      <c r="A647" s="11" t="s">
        <v>9939</v>
      </c>
      <c r="B647" t="s">
        <v>16</v>
      </c>
      <c r="C647" s="2" t="s">
        <v>8339</v>
      </c>
      <c r="D647" t="s">
        <v>4767</v>
      </c>
      <c r="E647" t="s">
        <v>4766</v>
      </c>
      <c r="F647" s="20">
        <v>1</v>
      </c>
      <c r="H647" t="s">
        <v>4772</v>
      </c>
      <c r="I647">
        <v>0</v>
      </c>
      <c r="J647" t="s">
        <v>9178</v>
      </c>
      <c r="K647" t="s">
        <v>4768</v>
      </c>
      <c r="M647" t="str">
        <f>"10901981"</f>
        <v>10901981</v>
      </c>
      <c r="N647" s="2" t="str">
        <f>"20151201"</f>
        <v>20151201</v>
      </c>
      <c r="O647">
        <v>42</v>
      </c>
      <c r="P647">
        <v>6</v>
      </c>
      <c r="Q647">
        <v>814</v>
      </c>
      <c r="R647">
        <v>10</v>
      </c>
      <c r="S647" t="s">
        <v>4769</v>
      </c>
      <c r="T647" t="s">
        <v>4770</v>
      </c>
      <c r="U647" t="s">
        <v>15</v>
      </c>
      <c r="V647" t="s">
        <v>4771</v>
      </c>
      <c r="X647" t="s">
        <v>4773</v>
      </c>
      <c r="Y647" t="b">
        <f t="shared" si="10"/>
        <v>0</v>
      </c>
    </row>
    <row r="648" spans="1:25" hidden="1">
      <c r="A648" s="11" t="s">
        <v>9939</v>
      </c>
      <c r="B648" t="s">
        <v>16</v>
      </c>
      <c r="C648" s="2" t="s">
        <v>8353</v>
      </c>
      <c r="D648" t="s">
        <v>4775</v>
      </c>
      <c r="E648" t="s">
        <v>4774</v>
      </c>
      <c r="H648" t="s">
        <v>4782</v>
      </c>
      <c r="K648" t="s">
        <v>4776</v>
      </c>
      <c r="M648" t="str">
        <f>"19236182"</f>
        <v>19236182</v>
      </c>
      <c r="N648" s="2" t="str">
        <f>"20160101"</f>
        <v>20160101</v>
      </c>
      <c r="O648">
        <v>50</v>
      </c>
      <c r="P648" t="s">
        <v>4777</v>
      </c>
      <c r="Q648" t="s">
        <v>4778</v>
      </c>
      <c r="R648">
        <v>19</v>
      </c>
      <c r="S648" t="s">
        <v>4779</v>
      </c>
      <c r="U648" t="s">
        <v>4780</v>
      </c>
      <c r="V648" t="s">
        <v>4781</v>
      </c>
      <c r="X648" t="s">
        <v>4783</v>
      </c>
      <c r="Y648" t="b">
        <f t="shared" si="10"/>
        <v>1</v>
      </c>
    </row>
    <row r="649" spans="1:25">
      <c r="A649" s="11" t="s">
        <v>9939</v>
      </c>
      <c r="B649" t="s">
        <v>16</v>
      </c>
      <c r="C649" s="2" t="s">
        <v>8349</v>
      </c>
      <c r="D649" t="s">
        <v>4785</v>
      </c>
      <c r="E649" t="s">
        <v>4784</v>
      </c>
      <c r="F649" s="20">
        <v>1</v>
      </c>
      <c r="H649" t="s">
        <v>4790</v>
      </c>
      <c r="I649">
        <v>1</v>
      </c>
      <c r="K649" t="s">
        <v>4786</v>
      </c>
      <c r="M649" t="str">
        <f>"09542892"</f>
        <v>09542892</v>
      </c>
      <c r="N649" s="2" t="str">
        <f>"20190301"</f>
        <v>20190301</v>
      </c>
      <c r="O649">
        <v>31</v>
      </c>
      <c r="P649">
        <v>1</v>
      </c>
      <c r="Q649">
        <v>70</v>
      </c>
      <c r="R649">
        <v>23</v>
      </c>
      <c r="S649" t="s">
        <v>4787</v>
      </c>
      <c r="T649" t="s">
        <v>4788</v>
      </c>
      <c r="U649" t="s">
        <v>675</v>
      </c>
      <c r="V649" t="s">
        <v>4789</v>
      </c>
      <c r="X649" t="s">
        <v>4791</v>
      </c>
      <c r="Y649" t="b">
        <f t="shared" si="10"/>
        <v>0</v>
      </c>
    </row>
    <row r="650" spans="1:25" hidden="1">
      <c r="A650" s="11" t="s">
        <v>9939</v>
      </c>
      <c r="B650" t="s">
        <v>16</v>
      </c>
      <c r="C650" s="2" t="s">
        <v>8353</v>
      </c>
      <c r="D650" t="s">
        <v>4793</v>
      </c>
      <c r="E650" t="s">
        <v>4792</v>
      </c>
      <c r="F650" s="20">
        <v>0</v>
      </c>
      <c r="G650" t="s">
        <v>9178</v>
      </c>
      <c r="H650" t="s">
        <v>4797</v>
      </c>
      <c r="K650" t="s">
        <v>40</v>
      </c>
      <c r="M650" t="str">
        <f>"15571912"</f>
        <v>15571912</v>
      </c>
      <c r="N650" s="2" t="str">
        <f>"20160801"</f>
        <v>20160801</v>
      </c>
      <c r="O650">
        <v>18</v>
      </c>
      <c r="P650">
        <v>4</v>
      </c>
      <c r="Q650">
        <v>749</v>
      </c>
      <c r="R650">
        <v>15</v>
      </c>
      <c r="S650" t="s">
        <v>4794</v>
      </c>
      <c r="T650" t="s">
        <v>4795</v>
      </c>
      <c r="U650" t="s">
        <v>42</v>
      </c>
      <c r="V650" t="s">
        <v>4796</v>
      </c>
      <c r="X650" t="s">
        <v>4798</v>
      </c>
      <c r="Y650" t="b">
        <f t="shared" si="10"/>
        <v>0</v>
      </c>
    </row>
    <row r="651" spans="1:25" hidden="1">
      <c r="A651" s="11" t="s">
        <v>9939</v>
      </c>
      <c r="B651" t="s">
        <v>16</v>
      </c>
      <c r="C651" s="2" t="s">
        <v>8339</v>
      </c>
      <c r="D651" t="s">
        <v>4800</v>
      </c>
      <c r="E651" t="s">
        <v>4799</v>
      </c>
      <c r="F651" s="20">
        <v>0</v>
      </c>
      <c r="G651" t="s">
        <v>9249</v>
      </c>
      <c r="H651" t="s">
        <v>4804</v>
      </c>
      <c r="K651" t="s">
        <v>132</v>
      </c>
      <c r="M651" t="str">
        <f>"01471767"</f>
        <v>01471767</v>
      </c>
      <c r="N651" s="2" t="str">
        <f>"20150301"</f>
        <v>20150301</v>
      </c>
      <c r="O651">
        <v>45</v>
      </c>
      <c r="Q651">
        <v>96</v>
      </c>
      <c r="R651">
        <v>8</v>
      </c>
      <c r="S651" t="s">
        <v>4801</v>
      </c>
      <c r="T651" t="s">
        <v>4802</v>
      </c>
      <c r="U651" t="s">
        <v>34</v>
      </c>
      <c r="V651" t="s">
        <v>4803</v>
      </c>
      <c r="X651" t="s">
        <v>4805</v>
      </c>
      <c r="Y651" t="b">
        <f t="shared" si="10"/>
        <v>0</v>
      </c>
    </row>
    <row r="652" spans="1:25">
      <c r="A652" s="11" t="s">
        <v>9939</v>
      </c>
      <c r="B652" t="s">
        <v>16</v>
      </c>
      <c r="C652" s="2" t="s">
        <v>8339</v>
      </c>
      <c r="D652" t="s">
        <v>4807</v>
      </c>
      <c r="E652" t="s">
        <v>4806</v>
      </c>
      <c r="F652" s="20">
        <v>1</v>
      </c>
      <c r="H652" t="s">
        <v>4813</v>
      </c>
      <c r="I652">
        <v>1</v>
      </c>
      <c r="K652" t="s">
        <v>4808</v>
      </c>
      <c r="M652" t="str">
        <f>"13876740"</f>
        <v>13876740</v>
      </c>
      <c r="N652" s="2" t="str">
        <f>"20150101"</f>
        <v>20150101</v>
      </c>
      <c r="O652">
        <v>25</v>
      </c>
      <c r="P652">
        <v>2</v>
      </c>
      <c r="Q652">
        <v>203</v>
      </c>
      <c r="R652">
        <v>21</v>
      </c>
      <c r="S652" t="s">
        <v>4809</v>
      </c>
      <c r="T652" t="s">
        <v>4810</v>
      </c>
      <c r="U652" t="s">
        <v>4811</v>
      </c>
      <c r="V652" t="s">
        <v>4812</v>
      </c>
      <c r="X652" t="s">
        <v>4814</v>
      </c>
      <c r="Y652" t="b">
        <f t="shared" si="10"/>
        <v>0</v>
      </c>
    </row>
    <row r="653" spans="1:25">
      <c r="A653" s="11" t="s">
        <v>9939</v>
      </c>
      <c r="B653" t="s">
        <v>16</v>
      </c>
      <c r="C653" s="2" t="s">
        <v>8344</v>
      </c>
      <c r="D653" t="s">
        <v>4816</v>
      </c>
      <c r="E653" t="s">
        <v>4815</v>
      </c>
      <c r="F653" s="20">
        <v>1</v>
      </c>
      <c r="H653" t="s">
        <v>4820</v>
      </c>
      <c r="I653">
        <v>0</v>
      </c>
      <c r="J653" t="s">
        <v>9245</v>
      </c>
      <c r="K653" t="s">
        <v>339</v>
      </c>
      <c r="M653" t="str">
        <f>"01419870"</f>
        <v>01419870</v>
      </c>
      <c r="N653" s="2" t="str">
        <f>"20101001"</f>
        <v>20101001</v>
      </c>
      <c r="O653">
        <v>33</v>
      </c>
      <c r="P653">
        <v>9</v>
      </c>
      <c r="Q653">
        <v>1489</v>
      </c>
      <c r="R653">
        <v>22</v>
      </c>
      <c r="S653" t="s">
        <v>4817</v>
      </c>
      <c r="T653" t="s">
        <v>4818</v>
      </c>
      <c r="U653" t="s">
        <v>87</v>
      </c>
      <c r="V653" t="s">
        <v>4819</v>
      </c>
      <c r="X653" t="s">
        <v>4821</v>
      </c>
      <c r="Y653" t="b">
        <f t="shared" si="10"/>
        <v>0</v>
      </c>
    </row>
    <row r="654" spans="1:25">
      <c r="A654" s="11" t="s">
        <v>9939</v>
      </c>
      <c r="B654" t="s">
        <v>16</v>
      </c>
      <c r="C654" s="2" t="s">
        <v>8339</v>
      </c>
      <c r="D654" t="s">
        <v>4823</v>
      </c>
      <c r="E654" t="s">
        <v>4822</v>
      </c>
      <c r="F654" s="20">
        <v>1</v>
      </c>
      <c r="H654" t="s">
        <v>4828</v>
      </c>
      <c r="I654">
        <v>1</v>
      </c>
      <c r="K654" t="s">
        <v>4824</v>
      </c>
      <c r="M654" t="str">
        <f>"01446665"</f>
        <v>01446665</v>
      </c>
      <c r="N654" s="2" t="str">
        <f>"20151201"</f>
        <v>20151201</v>
      </c>
      <c r="O654">
        <v>54</v>
      </c>
      <c r="P654">
        <v>4</v>
      </c>
      <c r="Q654">
        <v>748</v>
      </c>
      <c r="R654">
        <v>19</v>
      </c>
      <c r="S654" t="s">
        <v>4825</v>
      </c>
      <c r="T654" t="s">
        <v>4826</v>
      </c>
      <c r="U654" t="s">
        <v>730</v>
      </c>
      <c r="V654" t="s">
        <v>4827</v>
      </c>
      <c r="X654" t="s">
        <v>4829</v>
      </c>
      <c r="Y654" t="b">
        <f t="shared" si="10"/>
        <v>0</v>
      </c>
    </row>
    <row r="655" spans="1:25" hidden="1">
      <c r="A655" s="11" t="s">
        <v>9939</v>
      </c>
      <c r="B655" t="s">
        <v>16</v>
      </c>
      <c r="C655" s="2" t="s">
        <v>8342</v>
      </c>
      <c r="D655" t="s">
        <v>4831</v>
      </c>
      <c r="E655" t="s">
        <v>4830</v>
      </c>
      <c r="H655" t="s">
        <v>4835</v>
      </c>
      <c r="K655" t="s">
        <v>291</v>
      </c>
      <c r="M655" t="str">
        <f>"10169040"</f>
        <v>10169040</v>
      </c>
      <c r="N655" s="2" t="str">
        <f>"20120101"</f>
        <v>20120101</v>
      </c>
      <c r="O655">
        <v>17</v>
      </c>
      <c r="P655">
        <v>2</v>
      </c>
      <c r="Q655">
        <v>158</v>
      </c>
      <c r="R655">
        <v>10</v>
      </c>
      <c r="S655" t="s">
        <v>4832</v>
      </c>
      <c r="T655" t="s">
        <v>4833</v>
      </c>
      <c r="U655" t="s">
        <v>166</v>
      </c>
      <c r="V655" t="s">
        <v>4834</v>
      </c>
      <c r="X655" t="s">
        <v>4836</v>
      </c>
      <c r="Y655" t="b">
        <f t="shared" si="10"/>
        <v>1</v>
      </c>
    </row>
    <row r="656" spans="1:25">
      <c r="A656" s="11" t="s">
        <v>9939</v>
      </c>
      <c r="B656" t="s">
        <v>16</v>
      </c>
      <c r="C656" s="2" t="s">
        <v>8334</v>
      </c>
      <c r="D656" t="s">
        <v>4838</v>
      </c>
      <c r="E656" t="s">
        <v>4837</v>
      </c>
      <c r="F656" s="20">
        <v>1</v>
      </c>
      <c r="H656" t="s">
        <v>4842</v>
      </c>
      <c r="I656">
        <v>1</v>
      </c>
      <c r="K656" t="s">
        <v>2460</v>
      </c>
      <c r="M656" t="str">
        <f>"00121649"</f>
        <v>00121649</v>
      </c>
      <c r="N656" s="2" t="str">
        <f>"20140301"</f>
        <v>20140301</v>
      </c>
      <c r="O656">
        <v>50</v>
      </c>
      <c r="P656">
        <v>3</v>
      </c>
      <c r="Q656">
        <v>754</v>
      </c>
      <c r="R656">
        <v>12</v>
      </c>
      <c r="S656" t="s">
        <v>4839</v>
      </c>
      <c r="T656" t="s">
        <v>4840</v>
      </c>
      <c r="U656" t="s">
        <v>59</v>
      </c>
      <c r="V656" t="s">
        <v>4841</v>
      </c>
      <c r="X656" t="s">
        <v>4843</v>
      </c>
      <c r="Y656" t="b">
        <f t="shared" si="10"/>
        <v>0</v>
      </c>
    </row>
    <row r="657" spans="1:25" hidden="1">
      <c r="A657" s="11" t="s">
        <v>9939</v>
      </c>
      <c r="B657" t="s">
        <v>16</v>
      </c>
      <c r="C657" s="2" t="s">
        <v>8334</v>
      </c>
      <c r="D657" t="s">
        <v>4845</v>
      </c>
      <c r="E657" t="s">
        <v>4844</v>
      </c>
      <c r="F657" s="20">
        <v>0</v>
      </c>
      <c r="G657" t="s">
        <v>9951</v>
      </c>
      <c r="H657" t="s">
        <v>4850</v>
      </c>
      <c r="K657" t="s">
        <v>4846</v>
      </c>
      <c r="M657" t="str">
        <f>"19317611"</f>
        <v>19317611</v>
      </c>
      <c r="N657" s="2" t="str">
        <f>"20140101"</f>
        <v>20140101</v>
      </c>
      <c r="O657">
        <v>26</v>
      </c>
      <c r="P657">
        <v>1</v>
      </c>
      <c r="Q657">
        <v>25</v>
      </c>
      <c r="R657">
        <v>16</v>
      </c>
      <c r="S657" t="s">
        <v>4847</v>
      </c>
      <c r="T657" t="s">
        <v>4848</v>
      </c>
      <c r="U657" t="s">
        <v>87</v>
      </c>
      <c r="V657" t="s">
        <v>4849</v>
      </c>
      <c r="X657" t="s">
        <v>4851</v>
      </c>
      <c r="Y657" t="b">
        <f t="shared" si="10"/>
        <v>0</v>
      </c>
    </row>
    <row r="658" spans="1:25" hidden="1">
      <c r="A658" s="11" t="s">
        <v>9939</v>
      </c>
      <c r="B658" t="s">
        <v>16</v>
      </c>
      <c r="C658" s="2" t="s">
        <v>8339</v>
      </c>
      <c r="D658" t="s">
        <v>4853</v>
      </c>
      <c r="E658" t="s">
        <v>4852</v>
      </c>
      <c r="H658" t="s">
        <v>4857</v>
      </c>
      <c r="K658" t="s">
        <v>4854</v>
      </c>
      <c r="M658" t="str">
        <f>"21532168"</f>
        <v>21532168</v>
      </c>
      <c r="N658" s="2" t="str">
        <f>"20150801"</f>
        <v>20150801</v>
      </c>
      <c r="O658">
        <v>11</v>
      </c>
      <c r="P658">
        <v>4</v>
      </c>
      <c r="Q658">
        <v>430</v>
      </c>
      <c r="R658">
        <v>9</v>
      </c>
      <c r="S658" t="s">
        <v>4855</v>
      </c>
      <c r="U658" t="s">
        <v>404</v>
      </c>
      <c r="V658" t="s">
        <v>4856</v>
      </c>
      <c r="X658" t="s">
        <v>4858</v>
      </c>
      <c r="Y658" t="b">
        <f t="shared" si="10"/>
        <v>1</v>
      </c>
    </row>
    <row r="659" spans="1:25">
      <c r="A659" s="11" t="s">
        <v>9939</v>
      </c>
      <c r="B659" t="s">
        <v>16</v>
      </c>
      <c r="C659" s="2" t="s">
        <v>8339</v>
      </c>
      <c r="D659" t="s">
        <v>4860</v>
      </c>
      <c r="E659" t="s">
        <v>4859</v>
      </c>
      <c r="F659" s="20">
        <v>1</v>
      </c>
      <c r="H659" t="s">
        <v>4865</v>
      </c>
      <c r="I659">
        <v>0</v>
      </c>
      <c r="J659" t="s">
        <v>9265</v>
      </c>
      <c r="K659" t="s">
        <v>4861</v>
      </c>
      <c r="M659" t="str">
        <f>"01956663"</f>
        <v>01956663</v>
      </c>
      <c r="N659" s="2" t="str">
        <f>"20150401"</f>
        <v>20150401</v>
      </c>
      <c r="O659">
        <v>87</v>
      </c>
      <c r="Q659">
        <v>10</v>
      </c>
      <c r="R659">
        <v>10</v>
      </c>
      <c r="S659" t="s">
        <v>4862</v>
      </c>
      <c r="T659" t="s">
        <v>4863</v>
      </c>
      <c r="U659" t="s">
        <v>34</v>
      </c>
      <c r="V659" t="s">
        <v>4864</v>
      </c>
      <c r="X659" t="s">
        <v>4866</v>
      </c>
      <c r="Y659" t="b">
        <f t="shared" si="10"/>
        <v>0</v>
      </c>
    </row>
    <row r="660" spans="1:25">
      <c r="A660" s="11" t="s">
        <v>9939</v>
      </c>
      <c r="B660" t="s">
        <v>16</v>
      </c>
      <c r="C660" s="2" t="s">
        <v>8337</v>
      </c>
      <c r="D660" t="s">
        <v>4868</v>
      </c>
      <c r="E660" t="s">
        <v>4867</v>
      </c>
      <c r="F660" s="20">
        <v>1</v>
      </c>
      <c r="H660" t="s">
        <v>4872</v>
      </c>
      <c r="I660">
        <v>0</v>
      </c>
      <c r="J660" t="s">
        <v>9245</v>
      </c>
      <c r="K660" t="s">
        <v>40</v>
      </c>
      <c r="M660" t="str">
        <f>"15571912"</f>
        <v>15571912</v>
      </c>
      <c r="N660" s="2" t="str">
        <f>"20130601"</f>
        <v>20130601</v>
      </c>
      <c r="O660">
        <v>15</v>
      </c>
      <c r="P660">
        <v>3</v>
      </c>
      <c r="Q660">
        <v>560</v>
      </c>
      <c r="R660">
        <v>9</v>
      </c>
      <c r="S660" t="s">
        <v>4869</v>
      </c>
      <c r="T660" t="s">
        <v>4870</v>
      </c>
      <c r="U660" t="s">
        <v>42</v>
      </c>
      <c r="V660" t="s">
        <v>4871</v>
      </c>
      <c r="X660" t="s">
        <v>4873</v>
      </c>
      <c r="Y660" t="b">
        <f t="shared" si="10"/>
        <v>0</v>
      </c>
    </row>
    <row r="661" spans="1:25" hidden="1">
      <c r="A661" s="11" t="s">
        <v>9939</v>
      </c>
      <c r="B661" t="s">
        <v>16</v>
      </c>
      <c r="C661" s="2" t="s">
        <v>8348</v>
      </c>
      <c r="D661" t="s">
        <v>4875</v>
      </c>
      <c r="E661" t="s">
        <v>4874</v>
      </c>
      <c r="H661" t="s">
        <v>4879</v>
      </c>
      <c r="K661" t="s">
        <v>485</v>
      </c>
      <c r="M661" t="str">
        <f>"10964045"</f>
        <v>10964045</v>
      </c>
      <c r="N661" s="2" t="str">
        <f>"20050701"</f>
        <v>20050701</v>
      </c>
      <c r="O661">
        <v>7</v>
      </c>
      <c r="P661">
        <v>3</v>
      </c>
      <c r="Q661">
        <v>179</v>
      </c>
      <c r="R661">
        <v>6</v>
      </c>
      <c r="S661" t="s">
        <v>4876</v>
      </c>
      <c r="T661" t="s">
        <v>4877</v>
      </c>
      <c r="U661" t="s">
        <v>42</v>
      </c>
      <c r="V661" t="s">
        <v>4878</v>
      </c>
      <c r="X661" t="s">
        <v>4880</v>
      </c>
      <c r="Y661" t="b">
        <f t="shared" si="10"/>
        <v>1</v>
      </c>
    </row>
    <row r="662" spans="1:25">
      <c r="A662" s="11" t="s">
        <v>9939</v>
      </c>
      <c r="B662" t="s">
        <v>16</v>
      </c>
      <c r="C662" s="2" t="s">
        <v>8339</v>
      </c>
      <c r="D662" t="s">
        <v>4882</v>
      </c>
      <c r="E662" t="s">
        <v>4881</v>
      </c>
      <c r="F662" s="20">
        <v>1</v>
      </c>
      <c r="H662" t="s">
        <v>4887</v>
      </c>
      <c r="I662">
        <v>1</v>
      </c>
      <c r="K662" t="s">
        <v>4883</v>
      </c>
      <c r="M662" t="str">
        <f>"07149808"</f>
        <v>07149808</v>
      </c>
      <c r="N662" s="2" t="str">
        <f>"20150301"</f>
        <v>20150301</v>
      </c>
      <c r="O662">
        <v>34</v>
      </c>
      <c r="P662">
        <v>1</v>
      </c>
      <c r="Q662">
        <v>36</v>
      </c>
      <c r="R662">
        <v>5</v>
      </c>
      <c r="S662" t="s">
        <v>4884</v>
      </c>
      <c r="T662" t="s">
        <v>4885</v>
      </c>
      <c r="U662" t="s">
        <v>333</v>
      </c>
      <c r="V662" t="s">
        <v>4886</v>
      </c>
      <c r="X662" t="s">
        <v>4888</v>
      </c>
      <c r="Y662" t="b">
        <f t="shared" si="10"/>
        <v>0</v>
      </c>
    </row>
    <row r="663" spans="1:25" hidden="1">
      <c r="A663" s="11" t="s">
        <v>9939</v>
      </c>
      <c r="B663" t="s">
        <v>16</v>
      </c>
      <c r="C663" s="2" t="s">
        <v>8347</v>
      </c>
      <c r="D663" t="s">
        <v>4890</v>
      </c>
      <c r="E663" t="s">
        <v>4889</v>
      </c>
      <c r="H663" t="s">
        <v>4894</v>
      </c>
      <c r="K663" t="s">
        <v>93</v>
      </c>
      <c r="M663" t="str">
        <f>"00207640"</f>
        <v>00207640</v>
      </c>
      <c r="N663" s="2" t="str">
        <f>"20080701"</f>
        <v>20080701</v>
      </c>
      <c r="O663">
        <v>54</v>
      </c>
      <c r="P663">
        <v>4</v>
      </c>
      <c r="Q663">
        <v>338</v>
      </c>
      <c r="R663">
        <v>12</v>
      </c>
      <c r="S663" t="s">
        <v>4891</v>
      </c>
      <c r="T663" t="s">
        <v>4892</v>
      </c>
      <c r="U663" t="s">
        <v>15</v>
      </c>
      <c r="V663" t="s">
        <v>4893</v>
      </c>
      <c r="X663" t="s">
        <v>4895</v>
      </c>
      <c r="Y663" t="b">
        <f t="shared" si="10"/>
        <v>1</v>
      </c>
    </row>
    <row r="664" spans="1:25">
      <c r="A664" s="11" t="s">
        <v>9939</v>
      </c>
      <c r="B664" t="s">
        <v>16</v>
      </c>
      <c r="C664" s="2" t="s">
        <v>8353</v>
      </c>
      <c r="D664" t="s">
        <v>4897</v>
      </c>
      <c r="E664" t="s">
        <v>4896</v>
      </c>
      <c r="F664" s="20">
        <v>1</v>
      </c>
      <c r="H664" t="s">
        <v>4901</v>
      </c>
      <c r="I664">
        <v>1</v>
      </c>
      <c r="K664" t="s">
        <v>132</v>
      </c>
      <c r="M664" t="str">
        <f>"01471767"</f>
        <v>01471767</v>
      </c>
      <c r="N664" s="2" t="str">
        <f>"20160701"</f>
        <v>20160701</v>
      </c>
      <c r="O664">
        <v>53</v>
      </c>
      <c r="Q664">
        <v>1</v>
      </c>
      <c r="R664">
        <v>15</v>
      </c>
      <c r="S664" t="s">
        <v>4898</v>
      </c>
      <c r="T664" t="s">
        <v>4899</v>
      </c>
      <c r="U664" t="s">
        <v>34</v>
      </c>
      <c r="V664" t="s">
        <v>4900</v>
      </c>
      <c r="X664" t="s">
        <v>4902</v>
      </c>
      <c r="Y664" t="b">
        <f t="shared" si="10"/>
        <v>0</v>
      </c>
    </row>
    <row r="665" spans="1:25" hidden="1">
      <c r="A665" s="11" t="s">
        <v>9939</v>
      </c>
      <c r="B665" t="s">
        <v>16</v>
      </c>
      <c r="C665" s="2" t="s">
        <v>8346</v>
      </c>
      <c r="D665" t="s">
        <v>4904</v>
      </c>
      <c r="E665" t="s">
        <v>4903</v>
      </c>
      <c r="H665" t="s">
        <v>4908</v>
      </c>
      <c r="K665" t="s">
        <v>970</v>
      </c>
      <c r="M665" t="str">
        <f>"10999809"</f>
        <v>10999809</v>
      </c>
      <c r="N665" s="2" t="str">
        <f>"20110101"</f>
        <v>20110101</v>
      </c>
      <c r="O665">
        <v>17</v>
      </c>
      <c r="P665">
        <v>1</v>
      </c>
      <c r="Q665">
        <v>59</v>
      </c>
      <c r="R665">
        <v>9</v>
      </c>
      <c r="S665" t="s">
        <v>4905</v>
      </c>
      <c r="T665" t="s">
        <v>4906</v>
      </c>
      <c r="U665" t="s">
        <v>183</v>
      </c>
      <c r="V665" t="s">
        <v>4907</v>
      </c>
      <c r="X665" t="s">
        <v>4909</v>
      </c>
      <c r="Y665" t="b">
        <f t="shared" si="10"/>
        <v>1</v>
      </c>
    </row>
    <row r="666" spans="1:25" hidden="1">
      <c r="A666" s="11" t="s">
        <v>9939</v>
      </c>
      <c r="B666" t="s">
        <v>16</v>
      </c>
      <c r="C666" s="2" t="s">
        <v>8340</v>
      </c>
      <c r="D666" t="s">
        <v>4911</v>
      </c>
      <c r="E666" t="s">
        <v>4910</v>
      </c>
      <c r="F666" s="20">
        <v>0</v>
      </c>
      <c r="G666" t="s">
        <v>9178</v>
      </c>
      <c r="H666" t="s">
        <v>4916</v>
      </c>
      <c r="K666" t="s">
        <v>4912</v>
      </c>
      <c r="M666" t="str">
        <f>"0312407X"</f>
        <v>0312407X</v>
      </c>
      <c r="N666" s="2" t="str">
        <f>"20181001"</f>
        <v>20181001</v>
      </c>
      <c r="O666">
        <v>71</v>
      </c>
      <c r="P666">
        <v>4</v>
      </c>
      <c r="Q666">
        <v>462</v>
      </c>
      <c r="R666">
        <v>16</v>
      </c>
      <c r="S666" t="s">
        <v>4913</v>
      </c>
      <c r="T666" t="s">
        <v>4914</v>
      </c>
      <c r="U666" t="s">
        <v>87</v>
      </c>
      <c r="V666" t="s">
        <v>4915</v>
      </c>
      <c r="X666" t="s">
        <v>4917</v>
      </c>
      <c r="Y666" t="b">
        <f t="shared" si="10"/>
        <v>0</v>
      </c>
    </row>
    <row r="667" spans="1:25">
      <c r="A667" s="11" t="s">
        <v>9939</v>
      </c>
      <c r="B667" t="s">
        <v>16</v>
      </c>
      <c r="C667" s="2" t="s">
        <v>8336</v>
      </c>
      <c r="D667" t="s">
        <v>4919</v>
      </c>
      <c r="E667" t="s">
        <v>4918</v>
      </c>
      <c r="F667" s="20">
        <v>1</v>
      </c>
      <c r="H667" t="s">
        <v>4923</v>
      </c>
      <c r="I667">
        <v>1</v>
      </c>
      <c r="K667" t="s">
        <v>3104</v>
      </c>
      <c r="M667" t="str">
        <f>"15205436"</f>
        <v>15205436</v>
      </c>
      <c r="N667" s="2" t="str">
        <f>"20070701"</f>
        <v>20070701</v>
      </c>
      <c r="O667">
        <v>10</v>
      </c>
      <c r="P667">
        <v>3</v>
      </c>
      <c r="Q667">
        <v>319</v>
      </c>
      <c r="R667">
        <v>25</v>
      </c>
      <c r="S667" t="s">
        <v>4920</v>
      </c>
      <c r="T667" t="s">
        <v>4921</v>
      </c>
      <c r="U667" t="s">
        <v>87</v>
      </c>
      <c r="V667" t="s">
        <v>4922</v>
      </c>
      <c r="X667" t="s">
        <v>4924</v>
      </c>
      <c r="Y667" t="b">
        <f t="shared" si="10"/>
        <v>0</v>
      </c>
    </row>
    <row r="668" spans="1:25" hidden="1">
      <c r="A668" s="11" t="s">
        <v>9939</v>
      </c>
      <c r="B668" t="s">
        <v>16</v>
      </c>
      <c r="C668" s="2" t="s">
        <v>8334</v>
      </c>
      <c r="D668" t="s">
        <v>4926</v>
      </c>
      <c r="E668" t="s">
        <v>4925</v>
      </c>
      <c r="F668" s="20">
        <v>0</v>
      </c>
      <c r="G668" t="s">
        <v>9178</v>
      </c>
      <c r="H668" t="s">
        <v>4931</v>
      </c>
      <c r="K668" t="s">
        <v>4927</v>
      </c>
      <c r="M668" t="str">
        <f>"01640275"</f>
        <v>01640275</v>
      </c>
      <c r="N668" s="2" t="str">
        <f>"20140501"</f>
        <v>20140501</v>
      </c>
      <c r="O668">
        <v>36</v>
      </c>
      <c r="P668">
        <v>3</v>
      </c>
      <c r="Q668">
        <v>343</v>
      </c>
      <c r="R668">
        <v>21</v>
      </c>
      <c r="S668" t="s">
        <v>4928</v>
      </c>
      <c r="T668" t="s">
        <v>4929</v>
      </c>
      <c r="U668" t="s">
        <v>15</v>
      </c>
      <c r="V668" t="s">
        <v>4930</v>
      </c>
      <c r="X668" t="s">
        <v>4932</v>
      </c>
      <c r="Y668" t="b">
        <f t="shared" si="10"/>
        <v>0</v>
      </c>
    </row>
    <row r="669" spans="1:25" hidden="1">
      <c r="A669" s="11" t="s">
        <v>9939</v>
      </c>
      <c r="B669" t="s">
        <v>16</v>
      </c>
      <c r="C669" s="2" t="s">
        <v>8353</v>
      </c>
      <c r="D669" t="s">
        <v>3252</v>
      </c>
      <c r="E669" t="s">
        <v>4933</v>
      </c>
      <c r="H669" t="s">
        <v>4937</v>
      </c>
      <c r="K669" t="s">
        <v>4101</v>
      </c>
      <c r="M669" t="str">
        <f>"02654075"</f>
        <v>02654075</v>
      </c>
      <c r="N669" s="2" t="str">
        <f>"20160201"</f>
        <v>20160201</v>
      </c>
      <c r="O669">
        <v>33</v>
      </c>
      <c r="P669">
        <v>1</v>
      </c>
      <c r="Q669">
        <v>101</v>
      </c>
      <c r="R669">
        <v>21</v>
      </c>
      <c r="S669" t="s">
        <v>4934</v>
      </c>
      <c r="T669" t="s">
        <v>4935</v>
      </c>
      <c r="U669" t="s">
        <v>15</v>
      </c>
      <c r="V669" t="s">
        <v>4936</v>
      </c>
      <c r="X669" t="s">
        <v>4938</v>
      </c>
      <c r="Y669" t="b">
        <f t="shared" si="10"/>
        <v>1</v>
      </c>
    </row>
    <row r="670" spans="1:25" hidden="1">
      <c r="A670" s="11" t="s">
        <v>9939</v>
      </c>
      <c r="B670" t="s">
        <v>16</v>
      </c>
      <c r="C670" s="2" t="s">
        <v>8338</v>
      </c>
      <c r="D670" t="s">
        <v>4940</v>
      </c>
      <c r="E670" t="s">
        <v>4939</v>
      </c>
      <c r="H670" t="s">
        <v>4944</v>
      </c>
      <c r="K670" t="s">
        <v>1073</v>
      </c>
      <c r="M670" t="str">
        <f>"13634615"</f>
        <v>13634615</v>
      </c>
      <c r="N670" s="2" t="str">
        <f>"20060901"</f>
        <v>20060901</v>
      </c>
      <c r="O670">
        <v>43</v>
      </c>
      <c r="P670">
        <v>3</v>
      </c>
      <c r="Q670">
        <v>418</v>
      </c>
      <c r="R670">
        <v>27</v>
      </c>
      <c r="S670" t="s">
        <v>4941</v>
      </c>
      <c r="T670" t="s">
        <v>4942</v>
      </c>
      <c r="U670" t="s">
        <v>15</v>
      </c>
      <c r="V670" t="s">
        <v>4943</v>
      </c>
      <c r="X670" t="s">
        <v>4945</v>
      </c>
      <c r="Y670" t="b">
        <f t="shared" si="10"/>
        <v>1</v>
      </c>
    </row>
    <row r="671" spans="1:25" hidden="1">
      <c r="A671" s="11" t="s">
        <v>9939</v>
      </c>
      <c r="B671" t="s">
        <v>16</v>
      </c>
      <c r="C671" s="2" t="s">
        <v>8344</v>
      </c>
      <c r="D671" t="s">
        <v>4299</v>
      </c>
      <c r="E671" t="s">
        <v>4946</v>
      </c>
      <c r="F671" s="20">
        <v>0</v>
      </c>
      <c r="G671" t="s">
        <v>9249</v>
      </c>
      <c r="H671" t="s">
        <v>4951</v>
      </c>
      <c r="K671" t="s">
        <v>4947</v>
      </c>
      <c r="M671" t="str">
        <f>"15277143"</f>
        <v>15277143</v>
      </c>
      <c r="N671" s="2" t="str">
        <f>"20100601"</f>
        <v>20100601</v>
      </c>
      <c r="O671">
        <v>12</v>
      </c>
      <c r="P671">
        <v>2</v>
      </c>
      <c r="Q671">
        <v>265</v>
      </c>
      <c r="R671">
        <v>14</v>
      </c>
      <c r="S671" t="s">
        <v>4948</v>
      </c>
      <c r="U671" t="s">
        <v>4949</v>
      </c>
      <c r="V671" t="s">
        <v>4950</v>
      </c>
      <c r="X671" t="s">
        <v>4952</v>
      </c>
      <c r="Y671" t="b">
        <f t="shared" si="10"/>
        <v>0</v>
      </c>
    </row>
    <row r="672" spans="1:25" hidden="1">
      <c r="A672" s="11" t="s">
        <v>9939</v>
      </c>
      <c r="B672" t="s">
        <v>16</v>
      </c>
      <c r="C672" s="2" t="s">
        <v>8343</v>
      </c>
      <c r="D672" t="s">
        <v>4954</v>
      </c>
      <c r="E672" t="s">
        <v>4953</v>
      </c>
      <c r="H672" t="s">
        <v>4958</v>
      </c>
      <c r="K672" t="s">
        <v>84</v>
      </c>
      <c r="M672" t="str">
        <f>"13607863"</f>
        <v>13607863</v>
      </c>
      <c r="N672" s="2" t="str">
        <f>"20170801"</f>
        <v>20170801</v>
      </c>
      <c r="O672">
        <v>21</v>
      </c>
      <c r="P672">
        <v>8</v>
      </c>
      <c r="Q672">
        <v>829</v>
      </c>
      <c r="R672">
        <v>9</v>
      </c>
      <c r="S672" t="s">
        <v>4955</v>
      </c>
      <c r="T672" t="s">
        <v>4956</v>
      </c>
      <c r="U672" t="s">
        <v>87</v>
      </c>
      <c r="V672" t="s">
        <v>4957</v>
      </c>
      <c r="X672" t="s">
        <v>4959</v>
      </c>
      <c r="Y672" t="b">
        <f t="shared" si="10"/>
        <v>1</v>
      </c>
    </row>
    <row r="673" spans="1:25" hidden="1">
      <c r="A673" s="11" t="s">
        <v>9939</v>
      </c>
      <c r="B673" t="s">
        <v>16</v>
      </c>
      <c r="C673" s="2" t="s">
        <v>8342</v>
      </c>
      <c r="D673" t="s">
        <v>4961</v>
      </c>
      <c r="E673" t="s">
        <v>4960</v>
      </c>
      <c r="F673" s="20">
        <v>0</v>
      </c>
      <c r="G673" t="s">
        <v>9178</v>
      </c>
      <c r="H673" t="s">
        <v>4965</v>
      </c>
      <c r="K673" t="s">
        <v>197</v>
      </c>
      <c r="M673" t="str">
        <f>"10436596"</f>
        <v>10436596</v>
      </c>
      <c r="N673" s="2" t="str">
        <f>"20121001"</f>
        <v>20121001</v>
      </c>
      <c r="O673">
        <v>23</v>
      </c>
      <c r="P673">
        <v>4</v>
      </c>
      <c r="Q673">
        <v>359</v>
      </c>
      <c r="R673">
        <v>10</v>
      </c>
      <c r="S673" t="s">
        <v>4962</v>
      </c>
      <c r="T673" t="s">
        <v>4963</v>
      </c>
      <c r="U673" t="s">
        <v>15</v>
      </c>
      <c r="V673" t="s">
        <v>4964</v>
      </c>
      <c r="X673" t="s">
        <v>4966</v>
      </c>
      <c r="Y673" t="b">
        <f t="shared" si="10"/>
        <v>0</v>
      </c>
    </row>
    <row r="674" spans="1:25">
      <c r="A674" s="11" t="s">
        <v>9939</v>
      </c>
      <c r="B674" t="s">
        <v>16</v>
      </c>
      <c r="C674" s="2" t="s">
        <v>8337</v>
      </c>
      <c r="D674" t="s">
        <v>4968</v>
      </c>
      <c r="E674" t="s">
        <v>4967</v>
      </c>
      <c r="F674" s="20">
        <v>1</v>
      </c>
      <c r="H674" t="s">
        <v>4972</v>
      </c>
      <c r="I674">
        <v>1</v>
      </c>
      <c r="K674" t="s">
        <v>4680</v>
      </c>
      <c r="M674" t="str">
        <f>"10795014"</f>
        <v>10795014</v>
      </c>
      <c r="N674" s="2" t="str">
        <f>"20130301"</f>
        <v>20130301</v>
      </c>
      <c r="O674">
        <v>68</v>
      </c>
      <c r="P674">
        <v>2</v>
      </c>
      <c r="Q674">
        <v>298</v>
      </c>
      <c r="R674">
        <v>12</v>
      </c>
      <c r="S674" t="s">
        <v>4969</v>
      </c>
      <c r="T674" t="s">
        <v>4970</v>
      </c>
      <c r="U674" t="s">
        <v>675</v>
      </c>
      <c r="V674" t="s">
        <v>4971</v>
      </c>
      <c r="X674" t="s">
        <v>4973</v>
      </c>
      <c r="Y674" t="b">
        <f t="shared" si="10"/>
        <v>0</v>
      </c>
    </row>
    <row r="675" spans="1:25" hidden="1">
      <c r="A675" s="11" t="s">
        <v>9939</v>
      </c>
      <c r="B675" t="s">
        <v>16</v>
      </c>
      <c r="C675" s="2" t="s">
        <v>8343</v>
      </c>
      <c r="D675" t="s">
        <v>4975</v>
      </c>
      <c r="E675" t="s">
        <v>4974</v>
      </c>
      <c r="F675" s="20">
        <v>0</v>
      </c>
      <c r="G675" t="s">
        <v>9178</v>
      </c>
      <c r="H675" t="s">
        <v>4979</v>
      </c>
      <c r="K675" t="s">
        <v>1073</v>
      </c>
      <c r="M675" t="str">
        <f>"13634615"</f>
        <v>13634615</v>
      </c>
      <c r="N675" s="2" t="str">
        <f>"20171201"</f>
        <v>20171201</v>
      </c>
      <c r="O675">
        <v>54</v>
      </c>
      <c r="P675" s="1">
        <v>44352</v>
      </c>
      <c r="Q675" s="1">
        <v>783</v>
      </c>
      <c r="R675">
        <v>23</v>
      </c>
      <c r="S675" t="s">
        <v>4976</v>
      </c>
      <c r="T675" t="s">
        <v>4977</v>
      </c>
      <c r="U675" t="s">
        <v>15</v>
      </c>
      <c r="V675" t="s">
        <v>4978</v>
      </c>
      <c r="X675" t="s">
        <v>4980</v>
      </c>
      <c r="Y675" t="b">
        <f t="shared" si="10"/>
        <v>0</v>
      </c>
    </row>
    <row r="676" spans="1:25" hidden="1">
      <c r="A676" s="11" t="s">
        <v>9939</v>
      </c>
      <c r="B676" t="s">
        <v>69</v>
      </c>
      <c r="C676" s="2" t="s">
        <v>8344</v>
      </c>
      <c r="D676" t="s">
        <v>4982</v>
      </c>
      <c r="E676" t="s">
        <v>4981</v>
      </c>
      <c r="F676" s="20">
        <v>0</v>
      </c>
      <c r="G676" t="s">
        <v>9178</v>
      </c>
      <c r="H676" t="s">
        <v>4985</v>
      </c>
      <c r="K676" t="s">
        <v>65</v>
      </c>
      <c r="L676" t="str">
        <f>"9781124056111"</f>
        <v>9781124056111</v>
      </c>
      <c r="M676" t="str">
        <f>"04194209"</f>
        <v>04194209</v>
      </c>
      <c r="N676" s="2" t="str">
        <f>"20100101"</f>
        <v>20100101</v>
      </c>
      <c r="O676">
        <v>71</v>
      </c>
      <c r="P676" t="s">
        <v>3324</v>
      </c>
      <c r="Q676">
        <v>2231</v>
      </c>
      <c r="R676">
        <v>1</v>
      </c>
      <c r="S676" t="s">
        <v>4983</v>
      </c>
      <c r="U676" t="s">
        <v>68</v>
      </c>
      <c r="V676" t="s">
        <v>4984</v>
      </c>
      <c r="X676" t="s">
        <v>4986</v>
      </c>
      <c r="Y676" t="b">
        <f t="shared" si="10"/>
        <v>0</v>
      </c>
    </row>
    <row r="677" spans="1:25" hidden="1">
      <c r="A677" s="11" t="s">
        <v>9939</v>
      </c>
      <c r="B677" t="s">
        <v>16</v>
      </c>
      <c r="C677" s="2" t="s">
        <v>8335</v>
      </c>
      <c r="D677" t="s">
        <v>4988</v>
      </c>
      <c r="E677" t="s">
        <v>4987</v>
      </c>
      <c r="F677" s="20">
        <v>0</v>
      </c>
      <c r="G677" t="s">
        <v>9178</v>
      </c>
      <c r="H677" t="s">
        <v>4992</v>
      </c>
      <c r="K677" t="s">
        <v>893</v>
      </c>
      <c r="M677" t="str">
        <f>"00365564"</f>
        <v>00365564</v>
      </c>
      <c r="N677" s="2" t="str">
        <f>"20040401"</f>
        <v>20040401</v>
      </c>
      <c r="O677">
        <v>45</v>
      </c>
      <c r="P677">
        <v>2</v>
      </c>
      <c r="Q677">
        <v>131</v>
      </c>
      <c r="R677">
        <v>14</v>
      </c>
      <c r="S677" t="s">
        <v>4989</v>
      </c>
      <c r="T677" t="s">
        <v>4990</v>
      </c>
      <c r="U677" t="s">
        <v>464</v>
      </c>
      <c r="V677" t="s">
        <v>4991</v>
      </c>
      <c r="X677" t="s">
        <v>4993</v>
      </c>
      <c r="Y677" t="b">
        <f t="shared" si="10"/>
        <v>0</v>
      </c>
    </row>
    <row r="678" spans="1:25" hidden="1">
      <c r="A678" s="11" t="s">
        <v>9939</v>
      </c>
      <c r="B678" t="s">
        <v>16</v>
      </c>
      <c r="C678" s="2" t="s">
        <v>8338</v>
      </c>
      <c r="D678" t="s">
        <v>4995</v>
      </c>
      <c r="E678" t="s">
        <v>4994</v>
      </c>
      <c r="F678" s="20">
        <v>0</v>
      </c>
      <c r="G678" t="s">
        <v>9178</v>
      </c>
      <c r="H678" t="s">
        <v>4999</v>
      </c>
      <c r="K678" t="s">
        <v>48</v>
      </c>
      <c r="M678" t="str">
        <f>"07399863"</f>
        <v>07399863</v>
      </c>
      <c r="N678" s="2" t="str">
        <f>"20060501"</f>
        <v>20060501</v>
      </c>
      <c r="O678">
        <v>28</v>
      </c>
      <c r="P678">
        <v>2</v>
      </c>
      <c r="Q678">
        <v>209</v>
      </c>
      <c r="R678">
        <v>22</v>
      </c>
      <c r="S678" t="s">
        <v>4996</v>
      </c>
      <c r="T678" t="s">
        <v>4997</v>
      </c>
      <c r="U678" t="s">
        <v>15</v>
      </c>
      <c r="V678" t="s">
        <v>4998</v>
      </c>
      <c r="X678" t="s">
        <v>5000</v>
      </c>
      <c r="Y678" t="b">
        <f t="shared" si="10"/>
        <v>0</v>
      </c>
    </row>
    <row r="679" spans="1:25">
      <c r="A679" s="11" t="s">
        <v>9939</v>
      </c>
      <c r="B679" t="s">
        <v>16</v>
      </c>
      <c r="C679" s="2" t="s">
        <v>8349</v>
      </c>
      <c r="D679" t="s">
        <v>3882</v>
      </c>
      <c r="E679" t="s">
        <v>5001</v>
      </c>
      <c r="F679" s="20">
        <v>1</v>
      </c>
      <c r="H679" t="s">
        <v>5005</v>
      </c>
      <c r="I679">
        <v>1</v>
      </c>
      <c r="K679" t="s">
        <v>3883</v>
      </c>
      <c r="M679" t="str">
        <f>"00027162"</f>
        <v>00027162</v>
      </c>
      <c r="N679" s="2" t="str">
        <f>"20190701"</f>
        <v>20190701</v>
      </c>
      <c r="O679">
        <v>684</v>
      </c>
      <c r="P679">
        <v>1</v>
      </c>
      <c r="Q679">
        <v>85</v>
      </c>
      <c r="R679">
        <v>20</v>
      </c>
      <c r="S679" t="s">
        <v>5002</v>
      </c>
      <c r="T679" t="s">
        <v>5003</v>
      </c>
      <c r="U679" t="s">
        <v>15</v>
      </c>
      <c r="V679" t="s">
        <v>5004</v>
      </c>
      <c r="X679" t="s">
        <v>5006</v>
      </c>
      <c r="Y679" t="b">
        <f t="shared" si="10"/>
        <v>0</v>
      </c>
    </row>
    <row r="680" spans="1:25">
      <c r="A680" s="11" t="s">
        <v>9939</v>
      </c>
      <c r="B680" t="s">
        <v>16</v>
      </c>
      <c r="C680" s="2" t="s">
        <v>8342</v>
      </c>
      <c r="D680" t="s">
        <v>5008</v>
      </c>
      <c r="E680" t="s">
        <v>5007</v>
      </c>
      <c r="F680" s="20">
        <v>1</v>
      </c>
      <c r="H680" t="s">
        <v>5012</v>
      </c>
      <c r="I680">
        <v>1</v>
      </c>
      <c r="K680" t="s">
        <v>2379</v>
      </c>
      <c r="M680" t="str">
        <f>"00093920"</f>
        <v>00093920</v>
      </c>
      <c r="N680" s="2" t="str">
        <f>"20120901"</f>
        <v>20120901</v>
      </c>
      <c r="O680">
        <v>83</v>
      </c>
      <c r="P680">
        <v>5</v>
      </c>
      <c r="Q680">
        <v>1655</v>
      </c>
      <c r="R680">
        <v>17</v>
      </c>
      <c r="S680" t="s">
        <v>5009</v>
      </c>
      <c r="T680" t="s">
        <v>5010</v>
      </c>
      <c r="U680" t="s">
        <v>730</v>
      </c>
      <c r="V680" t="s">
        <v>5011</v>
      </c>
      <c r="X680" t="s">
        <v>5013</v>
      </c>
      <c r="Y680" t="b">
        <f t="shared" si="10"/>
        <v>0</v>
      </c>
    </row>
    <row r="681" spans="1:25" hidden="1">
      <c r="A681" s="11" t="s">
        <v>9939</v>
      </c>
      <c r="B681" t="s">
        <v>16</v>
      </c>
      <c r="C681" s="2" t="s">
        <v>8342</v>
      </c>
      <c r="D681" t="s">
        <v>5015</v>
      </c>
      <c r="E681" t="s">
        <v>5014</v>
      </c>
      <c r="H681" t="s">
        <v>5019</v>
      </c>
      <c r="K681" t="s">
        <v>132</v>
      </c>
      <c r="M681" t="str">
        <f>"01471767"</f>
        <v>01471767</v>
      </c>
      <c r="N681" s="2" t="str">
        <f>"20120701"</f>
        <v>20120701</v>
      </c>
      <c r="O681">
        <v>36</v>
      </c>
      <c r="P681">
        <v>4</v>
      </c>
      <c r="Q681">
        <v>598</v>
      </c>
      <c r="R681">
        <v>13</v>
      </c>
      <c r="S681" t="s">
        <v>5016</v>
      </c>
      <c r="T681" t="s">
        <v>5017</v>
      </c>
      <c r="U681" t="s">
        <v>34</v>
      </c>
      <c r="V681" t="s">
        <v>5018</v>
      </c>
      <c r="X681" t="s">
        <v>5020</v>
      </c>
      <c r="Y681" t="b">
        <f t="shared" si="10"/>
        <v>1</v>
      </c>
    </row>
    <row r="682" spans="1:25" hidden="1">
      <c r="A682" s="11" t="s">
        <v>9939</v>
      </c>
      <c r="B682" t="s">
        <v>16</v>
      </c>
      <c r="C682" s="2" t="s">
        <v>8344</v>
      </c>
      <c r="D682" t="s">
        <v>5022</v>
      </c>
      <c r="E682" t="s">
        <v>5021</v>
      </c>
      <c r="H682" t="s">
        <v>5027</v>
      </c>
      <c r="K682" t="s">
        <v>5023</v>
      </c>
      <c r="M682" t="str">
        <f>"13620436"</f>
        <v>13620436</v>
      </c>
      <c r="N682" s="2" t="str">
        <f>"20100101"</f>
        <v>20100101</v>
      </c>
      <c r="O682">
        <v>15</v>
      </c>
      <c r="P682">
        <v>3</v>
      </c>
      <c r="Q682">
        <v>218</v>
      </c>
      <c r="R682">
        <v>21</v>
      </c>
      <c r="S682" t="s">
        <v>5024</v>
      </c>
      <c r="T682" t="s">
        <v>5025</v>
      </c>
      <c r="U682" t="s">
        <v>78</v>
      </c>
      <c r="V682" t="s">
        <v>5026</v>
      </c>
      <c r="X682" t="s">
        <v>5028</v>
      </c>
      <c r="Y682" t="b">
        <f t="shared" si="10"/>
        <v>1</v>
      </c>
    </row>
    <row r="683" spans="1:25" hidden="1">
      <c r="A683" s="11" t="s">
        <v>9939</v>
      </c>
      <c r="B683" t="s">
        <v>16</v>
      </c>
      <c r="C683" s="2" t="s">
        <v>8340</v>
      </c>
      <c r="D683" t="s">
        <v>5030</v>
      </c>
      <c r="E683" t="s">
        <v>5029</v>
      </c>
      <c r="F683" s="20">
        <v>0</v>
      </c>
      <c r="G683" t="s">
        <v>9178</v>
      </c>
      <c r="H683" t="s">
        <v>5034</v>
      </c>
      <c r="K683" t="s">
        <v>140</v>
      </c>
      <c r="M683" t="str">
        <f>"02779536"</f>
        <v>02779536</v>
      </c>
      <c r="N683" s="2" t="str">
        <f>"20181201"</f>
        <v>20181201</v>
      </c>
      <c r="O683">
        <v>219</v>
      </c>
      <c r="Q683">
        <v>1</v>
      </c>
      <c r="R683">
        <v>10</v>
      </c>
      <c r="S683" t="s">
        <v>5031</v>
      </c>
      <c r="T683" t="s">
        <v>5032</v>
      </c>
      <c r="U683" t="s">
        <v>34</v>
      </c>
      <c r="V683" t="s">
        <v>5033</v>
      </c>
      <c r="X683" t="s">
        <v>5035</v>
      </c>
      <c r="Y683" t="b">
        <f t="shared" si="10"/>
        <v>0</v>
      </c>
    </row>
    <row r="684" spans="1:25">
      <c r="A684" s="11" t="s">
        <v>9939</v>
      </c>
      <c r="B684" t="s">
        <v>16</v>
      </c>
      <c r="C684" s="2" t="s">
        <v>8348</v>
      </c>
      <c r="D684" t="s">
        <v>5037</v>
      </c>
      <c r="E684" t="s">
        <v>5036</v>
      </c>
      <c r="F684" s="20">
        <v>1</v>
      </c>
      <c r="H684" t="s">
        <v>5042</v>
      </c>
      <c r="I684">
        <v>1</v>
      </c>
      <c r="K684" t="s">
        <v>5038</v>
      </c>
      <c r="M684" t="str">
        <f>"00031224"</f>
        <v>00031224</v>
      </c>
      <c r="N684" s="2" t="str">
        <f>"20050801"</f>
        <v>20050801</v>
      </c>
      <c r="O684">
        <v>70</v>
      </c>
      <c r="P684">
        <v>4</v>
      </c>
      <c r="Q684">
        <v>606</v>
      </c>
      <c r="R684">
        <v>27</v>
      </c>
      <c r="S684" t="s">
        <v>5039</v>
      </c>
      <c r="T684" t="s">
        <v>5040</v>
      </c>
      <c r="U684" t="s">
        <v>15</v>
      </c>
      <c r="V684" t="s">
        <v>5041</v>
      </c>
      <c r="X684" t="s">
        <v>5043</v>
      </c>
      <c r="Y684" t="b">
        <f t="shared" si="10"/>
        <v>0</v>
      </c>
    </row>
    <row r="685" spans="1:25">
      <c r="A685" s="11" t="s">
        <v>9939</v>
      </c>
      <c r="B685" t="s">
        <v>16</v>
      </c>
      <c r="C685" s="2" t="s">
        <v>8344</v>
      </c>
      <c r="D685" t="s">
        <v>5045</v>
      </c>
      <c r="E685" t="s">
        <v>5044</v>
      </c>
      <c r="F685" s="20">
        <v>1</v>
      </c>
      <c r="H685" t="s">
        <v>5050</v>
      </c>
      <c r="I685">
        <v>1</v>
      </c>
      <c r="K685" t="s">
        <v>5046</v>
      </c>
      <c r="M685" t="str">
        <f>"08982643"</f>
        <v>08982643</v>
      </c>
      <c r="N685" s="2" t="str">
        <f>"20101001"</f>
        <v>20101001</v>
      </c>
      <c r="O685">
        <v>22</v>
      </c>
      <c r="P685">
        <v>7</v>
      </c>
      <c r="Q685">
        <v>882</v>
      </c>
      <c r="R685">
        <v>32</v>
      </c>
      <c r="S685" t="s">
        <v>5047</v>
      </c>
      <c r="T685" t="s">
        <v>5048</v>
      </c>
      <c r="U685" t="s">
        <v>15</v>
      </c>
      <c r="V685" t="s">
        <v>5049</v>
      </c>
      <c r="X685" t="s">
        <v>5051</v>
      </c>
      <c r="Y685" t="b">
        <f t="shared" si="10"/>
        <v>0</v>
      </c>
    </row>
    <row r="686" spans="1:25">
      <c r="A686" s="11" t="s">
        <v>9939</v>
      </c>
      <c r="B686" t="s">
        <v>16</v>
      </c>
      <c r="C686" s="2" t="s">
        <v>8353</v>
      </c>
      <c r="D686" t="s">
        <v>5053</v>
      </c>
      <c r="E686" t="s">
        <v>5052</v>
      </c>
      <c r="F686" s="20">
        <v>1</v>
      </c>
      <c r="H686" t="s">
        <v>5057</v>
      </c>
      <c r="I686">
        <v>1</v>
      </c>
      <c r="K686" t="s">
        <v>1414</v>
      </c>
      <c r="M686" t="str">
        <f>"13557858"</f>
        <v>13557858</v>
      </c>
      <c r="N686" s="2" t="str">
        <f>"20160101"</f>
        <v>20160101</v>
      </c>
      <c r="O686">
        <v>21</v>
      </c>
      <c r="P686">
        <v>1</v>
      </c>
      <c r="Q686">
        <v>20</v>
      </c>
      <c r="R686">
        <v>19</v>
      </c>
      <c r="S686" t="s">
        <v>5054</v>
      </c>
      <c r="T686" t="s">
        <v>5055</v>
      </c>
      <c r="U686" t="s">
        <v>87</v>
      </c>
      <c r="V686" t="s">
        <v>5056</v>
      </c>
      <c r="X686" t="s">
        <v>5058</v>
      </c>
      <c r="Y686" t="b">
        <f t="shared" si="10"/>
        <v>0</v>
      </c>
    </row>
    <row r="687" spans="1:25" hidden="1">
      <c r="A687" s="11" t="s">
        <v>9939</v>
      </c>
      <c r="B687" t="s">
        <v>16</v>
      </c>
      <c r="C687" s="2" t="s">
        <v>8344</v>
      </c>
      <c r="D687" t="s">
        <v>5060</v>
      </c>
      <c r="E687" t="s">
        <v>5059</v>
      </c>
      <c r="F687" s="20">
        <v>0</v>
      </c>
      <c r="G687" t="s">
        <v>9237</v>
      </c>
      <c r="H687" t="s">
        <v>5066</v>
      </c>
      <c r="K687" t="s">
        <v>5061</v>
      </c>
      <c r="M687" t="str">
        <f>"19307381"</f>
        <v>19307381</v>
      </c>
      <c r="N687" s="2" t="str">
        <f>"20101101"</f>
        <v>20101101</v>
      </c>
      <c r="O687">
        <v>18</v>
      </c>
      <c r="P687">
        <v>11</v>
      </c>
      <c r="Q687">
        <v>2199</v>
      </c>
      <c r="R687">
        <v>5</v>
      </c>
      <c r="S687" t="s">
        <v>5062</v>
      </c>
      <c r="T687" t="s">
        <v>5063</v>
      </c>
      <c r="U687" t="s">
        <v>5064</v>
      </c>
      <c r="V687" t="s">
        <v>5065</v>
      </c>
      <c r="X687" t="s">
        <v>5067</v>
      </c>
      <c r="Y687" t="b">
        <f t="shared" si="10"/>
        <v>0</v>
      </c>
    </row>
    <row r="688" spans="1:25" hidden="1">
      <c r="A688" s="11" t="s">
        <v>9939</v>
      </c>
      <c r="B688" t="s">
        <v>16</v>
      </c>
      <c r="C688" s="2" t="s">
        <v>8345</v>
      </c>
      <c r="D688" t="s">
        <v>5069</v>
      </c>
      <c r="E688" t="s">
        <v>5068</v>
      </c>
      <c r="F688" s="20">
        <v>0</v>
      </c>
      <c r="G688" t="s">
        <v>9249</v>
      </c>
      <c r="H688" t="s">
        <v>5073</v>
      </c>
      <c r="K688" t="s">
        <v>132</v>
      </c>
      <c r="M688" t="str">
        <f>"01471767"</f>
        <v>01471767</v>
      </c>
      <c r="N688" s="2" t="str">
        <f>"20201101"</f>
        <v>20201101</v>
      </c>
      <c r="O688">
        <v>79</v>
      </c>
      <c r="Q688">
        <v>46</v>
      </c>
      <c r="R688">
        <v>12</v>
      </c>
      <c r="S688" t="s">
        <v>5070</v>
      </c>
      <c r="T688" t="s">
        <v>5071</v>
      </c>
      <c r="U688" t="s">
        <v>34</v>
      </c>
      <c r="V688" t="s">
        <v>5072</v>
      </c>
      <c r="X688" t="s">
        <v>5074</v>
      </c>
      <c r="Y688" t="b">
        <f t="shared" si="10"/>
        <v>0</v>
      </c>
    </row>
    <row r="689" spans="1:25" hidden="1">
      <c r="A689" s="11" t="s">
        <v>9939</v>
      </c>
      <c r="B689" t="s">
        <v>16</v>
      </c>
      <c r="C689" s="2" t="s">
        <v>8349</v>
      </c>
      <c r="D689" t="s">
        <v>5076</v>
      </c>
      <c r="E689" t="s">
        <v>5075</v>
      </c>
      <c r="H689" t="s">
        <v>5081</v>
      </c>
      <c r="K689" t="s">
        <v>5077</v>
      </c>
      <c r="M689" t="str">
        <f>"00070955"</f>
        <v>00070955</v>
      </c>
      <c r="N689" s="2" t="str">
        <f>"20190101"</f>
        <v>20190101</v>
      </c>
      <c r="O689">
        <v>59</v>
      </c>
      <c r="P689">
        <v>1</v>
      </c>
      <c r="Q689">
        <v>166</v>
      </c>
      <c r="R689">
        <v>22</v>
      </c>
      <c r="S689" t="s">
        <v>5078</v>
      </c>
      <c r="T689" t="s">
        <v>5079</v>
      </c>
      <c r="U689" t="s">
        <v>675</v>
      </c>
      <c r="V689" t="s">
        <v>5080</v>
      </c>
      <c r="X689" t="s">
        <v>5082</v>
      </c>
      <c r="Y689" t="b">
        <f t="shared" si="10"/>
        <v>1</v>
      </c>
    </row>
    <row r="690" spans="1:25" hidden="1">
      <c r="A690" s="11" t="s">
        <v>9939</v>
      </c>
      <c r="B690" t="s">
        <v>16</v>
      </c>
      <c r="C690" s="2" t="s">
        <v>8353</v>
      </c>
      <c r="D690" t="s">
        <v>5084</v>
      </c>
      <c r="E690" t="s">
        <v>5083</v>
      </c>
      <c r="F690" s="20">
        <v>0</v>
      </c>
      <c r="G690" t="s">
        <v>9178</v>
      </c>
      <c r="H690" t="s">
        <v>5089</v>
      </c>
      <c r="K690" t="s">
        <v>5085</v>
      </c>
      <c r="M690" t="str">
        <f>"16139372"</f>
        <v>16139372</v>
      </c>
      <c r="N690" s="2" t="str">
        <f>"20161201"</f>
        <v>20161201</v>
      </c>
      <c r="O690">
        <v>13</v>
      </c>
      <c r="P690">
        <v>4</v>
      </c>
      <c r="Q690">
        <v>299</v>
      </c>
      <c r="R690">
        <v>11</v>
      </c>
      <c r="S690" t="s">
        <v>5086</v>
      </c>
      <c r="T690" t="s">
        <v>5087</v>
      </c>
      <c r="U690" t="s">
        <v>42</v>
      </c>
      <c r="V690" t="s">
        <v>5088</v>
      </c>
      <c r="X690" t="s">
        <v>5090</v>
      </c>
      <c r="Y690" t="b">
        <f t="shared" si="10"/>
        <v>0</v>
      </c>
    </row>
    <row r="691" spans="1:25">
      <c r="A691" s="11" t="s">
        <v>9939</v>
      </c>
      <c r="B691" t="s">
        <v>16</v>
      </c>
      <c r="C691" s="2" t="s">
        <v>8334</v>
      </c>
      <c r="D691" t="s">
        <v>5092</v>
      </c>
      <c r="E691" t="s">
        <v>5091</v>
      </c>
      <c r="F691" s="20">
        <v>1</v>
      </c>
      <c r="H691" t="s">
        <v>5097</v>
      </c>
      <c r="I691">
        <v>0</v>
      </c>
      <c r="J691" t="s">
        <v>9178</v>
      </c>
      <c r="K691" t="s">
        <v>5093</v>
      </c>
      <c r="M691" t="str">
        <f>"13669877"</f>
        <v>13669877</v>
      </c>
      <c r="N691" s="2" t="str">
        <f>"20140901"</f>
        <v>20140901</v>
      </c>
      <c r="O691">
        <v>17</v>
      </c>
      <c r="P691">
        <v>8</v>
      </c>
      <c r="Q691">
        <v>1061</v>
      </c>
      <c r="R691">
        <v>28</v>
      </c>
      <c r="S691" t="s">
        <v>5094</v>
      </c>
      <c r="T691" t="s">
        <v>5095</v>
      </c>
      <c r="U691" t="s">
        <v>87</v>
      </c>
      <c r="V691" t="s">
        <v>5096</v>
      </c>
      <c r="X691" t="s">
        <v>5098</v>
      </c>
      <c r="Y691" t="b">
        <f t="shared" si="10"/>
        <v>0</v>
      </c>
    </row>
    <row r="692" spans="1:25">
      <c r="A692" s="11" t="s">
        <v>9939</v>
      </c>
      <c r="B692" t="s">
        <v>16</v>
      </c>
      <c r="C692" s="2" t="s">
        <v>8335</v>
      </c>
      <c r="D692" t="s">
        <v>5100</v>
      </c>
      <c r="E692" t="s">
        <v>5099</v>
      </c>
      <c r="F692" s="20">
        <v>1</v>
      </c>
      <c r="H692" t="s">
        <v>5104</v>
      </c>
      <c r="I692">
        <v>1</v>
      </c>
      <c r="K692" t="s">
        <v>1620</v>
      </c>
      <c r="M692" t="str">
        <f>"10621024"</f>
        <v>10621024</v>
      </c>
      <c r="N692" s="2" t="str">
        <f>"20040901"</f>
        <v>20040901</v>
      </c>
      <c r="O692">
        <v>13</v>
      </c>
      <c r="P692">
        <v>3</v>
      </c>
      <c r="Q692">
        <v>357</v>
      </c>
      <c r="R692">
        <v>15</v>
      </c>
      <c r="S692" t="s">
        <v>5101</v>
      </c>
      <c r="T692" t="s">
        <v>5102</v>
      </c>
      <c r="U692" t="s">
        <v>42</v>
      </c>
      <c r="V692" t="s">
        <v>5103</v>
      </c>
      <c r="X692" t="s">
        <v>5105</v>
      </c>
      <c r="Y692" t="b">
        <f t="shared" si="10"/>
        <v>0</v>
      </c>
    </row>
    <row r="693" spans="1:25" hidden="1">
      <c r="A693" s="11" t="s">
        <v>9939</v>
      </c>
      <c r="B693" t="s">
        <v>16</v>
      </c>
      <c r="C693" s="2" t="s">
        <v>8346</v>
      </c>
      <c r="D693" t="s">
        <v>5107</v>
      </c>
      <c r="E693" t="s">
        <v>5106</v>
      </c>
      <c r="H693" t="s">
        <v>5111</v>
      </c>
      <c r="K693" t="s">
        <v>132</v>
      </c>
      <c r="M693" t="str">
        <f>"01471767"</f>
        <v>01471767</v>
      </c>
      <c r="N693" s="2" t="str">
        <f>"20110901"</f>
        <v>20110901</v>
      </c>
      <c r="O693">
        <v>35</v>
      </c>
      <c r="P693">
        <v>5</v>
      </c>
      <c r="Q693">
        <v>523</v>
      </c>
      <c r="R693">
        <v>11</v>
      </c>
      <c r="S693" t="s">
        <v>5108</v>
      </c>
      <c r="T693" t="s">
        <v>5109</v>
      </c>
      <c r="U693" t="s">
        <v>34</v>
      </c>
      <c r="V693" t="s">
        <v>5110</v>
      </c>
      <c r="X693" t="s">
        <v>5112</v>
      </c>
      <c r="Y693" t="b">
        <f t="shared" si="10"/>
        <v>1</v>
      </c>
    </row>
    <row r="694" spans="1:25" hidden="1">
      <c r="A694" s="11" t="s">
        <v>9939</v>
      </c>
      <c r="B694" t="s">
        <v>16</v>
      </c>
      <c r="C694" s="2" t="s">
        <v>8345</v>
      </c>
      <c r="D694" t="s">
        <v>5114</v>
      </c>
      <c r="E694" t="s">
        <v>5113</v>
      </c>
      <c r="F694" s="20">
        <v>0</v>
      </c>
      <c r="G694" t="s">
        <v>9178</v>
      </c>
      <c r="H694" t="s">
        <v>5118</v>
      </c>
      <c r="K694" t="s">
        <v>132</v>
      </c>
      <c r="M694" t="str">
        <f>"01471767"</f>
        <v>01471767</v>
      </c>
      <c r="N694" s="2" t="str">
        <f>"20200301"</f>
        <v>20200301</v>
      </c>
      <c r="O694">
        <v>75</v>
      </c>
      <c r="Q694">
        <v>48</v>
      </c>
      <c r="R694">
        <v>8</v>
      </c>
      <c r="S694" t="s">
        <v>5115</v>
      </c>
      <c r="T694" t="s">
        <v>5116</v>
      </c>
      <c r="U694" t="s">
        <v>34</v>
      </c>
      <c r="V694" t="s">
        <v>5117</v>
      </c>
      <c r="X694" t="s">
        <v>5119</v>
      </c>
      <c r="Y694" t="b">
        <f t="shared" si="10"/>
        <v>0</v>
      </c>
    </row>
    <row r="695" spans="1:25" hidden="1">
      <c r="A695" s="11" t="s">
        <v>9939</v>
      </c>
      <c r="B695" t="s">
        <v>16</v>
      </c>
      <c r="C695" s="2" t="s">
        <v>8339</v>
      </c>
      <c r="D695" t="s">
        <v>5121</v>
      </c>
      <c r="E695" t="s">
        <v>5120</v>
      </c>
      <c r="F695" s="20">
        <v>0</v>
      </c>
      <c r="G695" t="s">
        <v>9178</v>
      </c>
      <c r="H695" t="s">
        <v>5126</v>
      </c>
      <c r="K695" t="s">
        <v>5122</v>
      </c>
      <c r="M695" t="str">
        <f>"16618556"</f>
        <v>16618556</v>
      </c>
      <c r="N695" s="2" t="str">
        <f>"20150701"</f>
        <v>20150701</v>
      </c>
      <c r="O695">
        <v>60</v>
      </c>
      <c r="P695">
        <v>5</v>
      </c>
      <c r="Q695">
        <v>609</v>
      </c>
      <c r="R695">
        <v>9</v>
      </c>
      <c r="S695" t="s">
        <v>5123</v>
      </c>
      <c r="T695" t="s">
        <v>5124</v>
      </c>
      <c r="U695" t="s">
        <v>42</v>
      </c>
      <c r="V695" t="s">
        <v>5125</v>
      </c>
      <c r="X695" t="s">
        <v>5127</v>
      </c>
      <c r="Y695" t="b">
        <f t="shared" si="10"/>
        <v>0</v>
      </c>
    </row>
    <row r="696" spans="1:25" hidden="1">
      <c r="A696" s="11" t="s">
        <v>9939</v>
      </c>
      <c r="B696" t="s">
        <v>16</v>
      </c>
      <c r="C696" s="2" t="s">
        <v>8353</v>
      </c>
      <c r="D696" t="s">
        <v>5129</v>
      </c>
      <c r="E696" t="s">
        <v>5128</v>
      </c>
      <c r="F696" s="20">
        <v>0</v>
      </c>
      <c r="G696" t="s">
        <v>9178</v>
      </c>
      <c r="H696" t="s">
        <v>5134</v>
      </c>
      <c r="K696" t="s">
        <v>5130</v>
      </c>
      <c r="M696" t="str">
        <f>"0144686X"</f>
        <v>0144686X</v>
      </c>
      <c r="N696" s="2" t="str">
        <f>"20161101"</f>
        <v>20161101</v>
      </c>
      <c r="O696">
        <v>36</v>
      </c>
      <c r="P696">
        <v>10</v>
      </c>
      <c r="Q696">
        <v>2010</v>
      </c>
      <c r="R696">
        <v>26</v>
      </c>
      <c r="S696" t="s">
        <v>5131</v>
      </c>
      <c r="T696" t="s">
        <v>5132</v>
      </c>
      <c r="U696" t="s">
        <v>333</v>
      </c>
      <c r="V696" t="s">
        <v>5133</v>
      </c>
      <c r="X696" t="s">
        <v>5135</v>
      </c>
      <c r="Y696" t="b">
        <f t="shared" si="10"/>
        <v>0</v>
      </c>
    </row>
    <row r="697" spans="1:25" hidden="1">
      <c r="A697" s="11" t="s">
        <v>9939</v>
      </c>
      <c r="B697" t="s">
        <v>16</v>
      </c>
      <c r="C697" s="2" t="s">
        <v>8347</v>
      </c>
      <c r="D697" t="s">
        <v>5137</v>
      </c>
      <c r="E697" t="s">
        <v>5136</v>
      </c>
      <c r="F697" s="20">
        <v>0</v>
      </c>
      <c r="G697" t="s">
        <v>9178</v>
      </c>
      <c r="H697" t="s">
        <v>5142</v>
      </c>
      <c r="K697" t="s">
        <v>5138</v>
      </c>
      <c r="M697" t="str">
        <f>"15250008"</f>
        <v>15250008</v>
      </c>
      <c r="N697" s="2" t="str">
        <f>"20080701"</f>
        <v>20080701</v>
      </c>
      <c r="O697">
        <v>13</v>
      </c>
      <c r="P697">
        <v>4</v>
      </c>
      <c r="Q697">
        <v>338</v>
      </c>
      <c r="R697">
        <v>28</v>
      </c>
      <c r="S697" t="s">
        <v>5139</v>
      </c>
      <c r="T697" t="s">
        <v>5140</v>
      </c>
      <c r="U697" t="s">
        <v>87</v>
      </c>
      <c r="V697" t="s">
        <v>5141</v>
      </c>
      <c r="X697" t="s">
        <v>5143</v>
      </c>
      <c r="Y697" t="b">
        <f t="shared" si="10"/>
        <v>0</v>
      </c>
    </row>
    <row r="698" spans="1:25">
      <c r="A698" s="11" t="s">
        <v>9939</v>
      </c>
      <c r="B698" t="s">
        <v>16</v>
      </c>
      <c r="C698" s="2" t="s">
        <v>8349</v>
      </c>
      <c r="D698" t="s">
        <v>5145</v>
      </c>
      <c r="E698" t="s">
        <v>5144</v>
      </c>
      <c r="F698" s="20">
        <v>1</v>
      </c>
      <c r="H698" t="s">
        <v>5150</v>
      </c>
      <c r="I698">
        <v>1</v>
      </c>
      <c r="K698" t="s">
        <v>5146</v>
      </c>
      <c r="M698" t="str">
        <f>"08295735"</f>
        <v>08295735</v>
      </c>
      <c r="N698" s="2" t="str">
        <f>"20190301"</f>
        <v>20190301</v>
      </c>
      <c r="O698">
        <v>34</v>
      </c>
      <c r="P698">
        <v>1</v>
      </c>
      <c r="Q698">
        <v>56</v>
      </c>
      <c r="R698">
        <v>17</v>
      </c>
      <c r="S698" t="s">
        <v>5147</v>
      </c>
      <c r="T698" t="s">
        <v>5148</v>
      </c>
      <c r="U698" t="s">
        <v>15</v>
      </c>
      <c r="V698" t="s">
        <v>5149</v>
      </c>
      <c r="X698" t="s">
        <v>5151</v>
      </c>
      <c r="Y698" t="b">
        <f t="shared" si="10"/>
        <v>0</v>
      </c>
    </row>
    <row r="699" spans="1:25" hidden="1">
      <c r="A699" s="11" t="s">
        <v>9939</v>
      </c>
      <c r="B699" t="s">
        <v>16</v>
      </c>
      <c r="C699" s="2" t="s">
        <v>8340</v>
      </c>
      <c r="D699" t="s">
        <v>5153</v>
      </c>
      <c r="E699" t="s">
        <v>5152</v>
      </c>
      <c r="H699" t="s">
        <v>5157</v>
      </c>
      <c r="K699" t="s">
        <v>2276</v>
      </c>
      <c r="M699" t="str">
        <f>"00278424"</f>
        <v>00278424</v>
      </c>
      <c r="N699" s="2" t="str">
        <f>"20181106"</f>
        <v>20181106</v>
      </c>
      <c r="O699">
        <v>115</v>
      </c>
      <c r="P699">
        <v>45</v>
      </c>
      <c r="Q699">
        <v>11483</v>
      </c>
      <c r="R699">
        <v>6</v>
      </c>
      <c r="S699" t="s">
        <v>5154</v>
      </c>
      <c r="T699" t="s">
        <v>5155</v>
      </c>
      <c r="U699" t="s">
        <v>2279</v>
      </c>
      <c r="V699" t="s">
        <v>5156</v>
      </c>
      <c r="X699" t="s">
        <v>5158</v>
      </c>
      <c r="Y699" t="b">
        <f t="shared" si="10"/>
        <v>1</v>
      </c>
    </row>
    <row r="700" spans="1:25">
      <c r="A700" s="11" t="s">
        <v>9939</v>
      </c>
      <c r="B700" t="s">
        <v>16</v>
      </c>
      <c r="C700" s="2" t="s">
        <v>8344</v>
      </c>
      <c r="D700" t="s">
        <v>5160</v>
      </c>
      <c r="E700" t="s">
        <v>5159</v>
      </c>
      <c r="F700" s="20">
        <v>1</v>
      </c>
      <c r="H700" t="s">
        <v>5164</v>
      </c>
      <c r="I700">
        <v>1</v>
      </c>
      <c r="K700" t="s">
        <v>189</v>
      </c>
      <c r="M700" t="str">
        <f>"01650254"</f>
        <v>01650254</v>
      </c>
      <c r="N700" s="2" t="str">
        <f>"20100501"</f>
        <v>20100501</v>
      </c>
      <c r="O700">
        <v>34</v>
      </c>
      <c r="P700">
        <v>3</v>
      </c>
      <c r="Q700">
        <v>193</v>
      </c>
      <c r="R700">
        <v>13</v>
      </c>
      <c r="S700" t="s">
        <v>5161</v>
      </c>
      <c r="T700" t="s">
        <v>5162</v>
      </c>
      <c r="U700" t="s">
        <v>15</v>
      </c>
      <c r="V700" t="s">
        <v>5163</v>
      </c>
      <c r="X700" t="s">
        <v>5165</v>
      </c>
      <c r="Y700" t="b">
        <f t="shared" si="10"/>
        <v>0</v>
      </c>
    </row>
    <row r="701" spans="1:25">
      <c r="A701" s="11" t="s">
        <v>9939</v>
      </c>
      <c r="B701" t="s">
        <v>16</v>
      </c>
      <c r="C701" s="2" t="s">
        <v>8340</v>
      </c>
      <c r="D701" t="s">
        <v>5167</v>
      </c>
      <c r="E701" t="s">
        <v>5166</v>
      </c>
      <c r="F701" s="20">
        <v>1</v>
      </c>
      <c r="H701" t="s">
        <v>5171</v>
      </c>
      <c r="I701">
        <v>1</v>
      </c>
      <c r="K701" t="s">
        <v>221</v>
      </c>
      <c r="M701" t="str">
        <f>"00904392"</f>
        <v>00904392</v>
      </c>
      <c r="N701" s="2" t="str">
        <f>"20180101"</f>
        <v>20180101</v>
      </c>
      <c r="O701">
        <v>46</v>
      </c>
      <c r="P701">
        <v>1</v>
      </c>
      <c r="Q701">
        <v>7</v>
      </c>
      <c r="R701">
        <v>16</v>
      </c>
      <c r="S701" t="s">
        <v>5168</v>
      </c>
      <c r="T701" t="s">
        <v>5169</v>
      </c>
      <c r="U701" t="s">
        <v>224</v>
      </c>
      <c r="V701" t="s">
        <v>5170</v>
      </c>
      <c r="X701" t="s">
        <v>5172</v>
      </c>
      <c r="Y701" t="b">
        <f t="shared" si="10"/>
        <v>0</v>
      </c>
    </row>
    <row r="702" spans="1:25">
      <c r="A702" s="11" t="s">
        <v>9939</v>
      </c>
      <c r="B702" t="s">
        <v>16</v>
      </c>
      <c r="C702" s="2" t="s">
        <v>8354</v>
      </c>
      <c r="D702" t="s">
        <v>5174</v>
      </c>
      <c r="E702" t="s">
        <v>5173</v>
      </c>
      <c r="F702" s="20">
        <v>1</v>
      </c>
      <c r="H702" t="s">
        <v>5180</v>
      </c>
      <c r="I702">
        <v>1</v>
      </c>
      <c r="K702" t="s">
        <v>5175</v>
      </c>
      <c r="M702" t="str">
        <f>"00377791"</f>
        <v>00377791</v>
      </c>
      <c r="N702" s="2" t="str">
        <f>"20021101"</f>
        <v>20021101</v>
      </c>
      <c r="O702">
        <v>49</v>
      </c>
      <c r="P702">
        <v>4</v>
      </c>
      <c r="Q702">
        <v>563</v>
      </c>
      <c r="R702">
        <v>22</v>
      </c>
      <c r="S702" t="s">
        <v>5176</v>
      </c>
      <c r="T702" t="s">
        <v>5177</v>
      </c>
      <c r="U702" t="s">
        <v>5178</v>
      </c>
      <c r="V702" t="s">
        <v>5179</v>
      </c>
      <c r="X702" t="s">
        <v>5181</v>
      </c>
      <c r="Y702" t="b">
        <f t="shared" si="10"/>
        <v>0</v>
      </c>
    </row>
    <row r="703" spans="1:25" hidden="1">
      <c r="A703" s="11" t="s">
        <v>9939</v>
      </c>
      <c r="B703" t="s">
        <v>395</v>
      </c>
      <c r="C703" s="2" t="s">
        <v>8348</v>
      </c>
      <c r="D703" t="s">
        <v>5183</v>
      </c>
      <c r="E703" t="s">
        <v>5182</v>
      </c>
      <c r="H703" t="s">
        <v>5188</v>
      </c>
      <c r="K703" t="s">
        <v>5184</v>
      </c>
      <c r="L703" t="str">
        <f>"159454459X"</f>
        <v>159454459X</v>
      </c>
      <c r="N703" s="2" t="str">
        <f>"20050101"</f>
        <v>20050101</v>
      </c>
      <c r="Q703">
        <v>143</v>
      </c>
      <c r="R703">
        <v>19</v>
      </c>
      <c r="S703" t="s">
        <v>5185</v>
      </c>
      <c r="U703" t="s">
        <v>5186</v>
      </c>
      <c r="V703" t="s">
        <v>5187</v>
      </c>
      <c r="X703" t="s">
        <v>5189</v>
      </c>
      <c r="Y703" t="b">
        <f t="shared" si="10"/>
        <v>1</v>
      </c>
    </row>
    <row r="704" spans="1:25">
      <c r="A704" s="11" t="s">
        <v>9939</v>
      </c>
      <c r="B704" t="s">
        <v>16</v>
      </c>
      <c r="C704" s="2" t="s">
        <v>8343</v>
      </c>
      <c r="D704" t="s">
        <v>5191</v>
      </c>
      <c r="E704" t="s">
        <v>5190</v>
      </c>
      <c r="F704" s="20">
        <v>1</v>
      </c>
      <c r="H704" t="s">
        <v>5195</v>
      </c>
      <c r="I704">
        <v>0</v>
      </c>
      <c r="J704" t="s">
        <v>9237</v>
      </c>
      <c r="K704" t="s">
        <v>5085</v>
      </c>
      <c r="M704" t="str">
        <f>"16139372"</f>
        <v>16139372</v>
      </c>
      <c r="N704" s="2" t="str">
        <f>"20171201"</f>
        <v>20171201</v>
      </c>
      <c r="O704">
        <v>14</v>
      </c>
      <c r="P704">
        <v>4</v>
      </c>
      <c r="Q704">
        <v>341</v>
      </c>
      <c r="R704">
        <v>11</v>
      </c>
      <c r="S704" t="s">
        <v>5192</v>
      </c>
      <c r="T704" t="s">
        <v>5193</v>
      </c>
      <c r="U704" t="s">
        <v>42</v>
      </c>
      <c r="V704" t="s">
        <v>5194</v>
      </c>
      <c r="X704" t="s">
        <v>5196</v>
      </c>
      <c r="Y704" t="b">
        <f t="shared" si="10"/>
        <v>0</v>
      </c>
    </row>
    <row r="705" spans="1:25" hidden="1">
      <c r="A705" s="11" t="s">
        <v>9939</v>
      </c>
      <c r="B705" t="s">
        <v>16</v>
      </c>
      <c r="C705" s="2" t="s">
        <v>8340</v>
      </c>
      <c r="D705" t="s">
        <v>5198</v>
      </c>
      <c r="E705" t="s">
        <v>5197</v>
      </c>
      <c r="H705" t="s">
        <v>5202</v>
      </c>
      <c r="K705" t="s">
        <v>1331</v>
      </c>
      <c r="M705" t="str">
        <f>"0992986X"</f>
        <v>0992986X</v>
      </c>
      <c r="N705" s="2" t="str">
        <f>"20180508"</f>
        <v>20180508</v>
      </c>
      <c r="O705">
        <v>31</v>
      </c>
      <c r="P705">
        <v>1</v>
      </c>
      <c r="S705" t="s">
        <v>5199</v>
      </c>
      <c r="T705" t="s">
        <v>5200</v>
      </c>
      <c r="U705" t="s">
        <v>1333</v>
      </c>
      <c r="V705" t="s">
        <v>5201</v>
      </c>
      <c r="X705" t="s">
        <v>5203</v>
      </c>
      <c r="Y705" t="b">
        <f t="shared" si="10"/>
        <v>1</v>
      </c>
    </row>
    <row r="706" spans="1:25" hidden="1">
      <c r="A706" s="11" t="s">
        <v>9939</v>
      </c>
      <c r="B706" t="s">
        <v>16</v>
      </c>
      <c r="C706" s="2" t="s">
        <v>8346</v>
      </c>
      <c r="D706" t="s">
        <v>5205</v>
      </c>
      <c r="E706" t="s">
        <v>5204</v>
      </c>
      <c r="H706" t="s">
        <v>5209</v>
      </c>
      <c r="K706" t="s">
        <v>40</v>
      </c>
      <c r="M706" t="str">
        <f>"15571912"</f>
        <v>15571912</v>
      </c>
      <c r="N706" s="2" t="str">
        <f>"20110201"</f>
        <v>20110201</v>
      </c>
      <c r="O706">
        <v>13</v>
      </c>
      <c r="P706">
        <v>1</v>
      </c>
      <c r="Q706">
        <v>94</v>
      </c>
      <c r="R706">
        <v>7</v>
      </c>
      <c r="S706" t="s">
        <v>5206</v>
      </c>
      <c r="T706" t="s">
        <v>5207</v>
      </c>
      <c r="U706" t="s">
        <v>42</v>
      </c>
      <c r="V706" t="s">
        <v>5208</v>
      </c>
      <c r="X706" t="s">
        <v>5210</v>
      </c>
      <c r="Y706" t="b">
        <f t="shared" ref="Y706:Y769" si="11">COUNTIF(X:X, X706)&gt;1</f>
        <v>1</v>
      </c>
    </row>
    <row r="707" spans="1:25">
      <c r="A707" s="11" t="s">
        <v>9939</v>
      </c>
      <c r="B707" t="s">
        <v>16</v>
      </c>
      <c r="C707" s="2" t="s">
        <v>8338</v>
      </c>
      <c r="D707" t="s">
        <v>5212</v>
      </c>
      <c r="E707" t="s">
        <v>5211</v>
      </c>
      <c r="F707" s="20">
        <v>1</v>
      </c>
      <c r="H707" t="s">
        <v>5216</v>
      </c>
      <c r="I707">
        <v>0</v>
      </c>
      <c r="J707" t="s">
        <v>9265</v>
      </c>
      <c r="K707" t="s">
        <v>252</v>
      </c>
      <c r="M707" t="str">
        <f>"00220221"</f>
        <v>00220221</v>
      </c>
      <c r="N707" s="2" t="str">
        <f>"20060501"</f>
        <v>20060501</v>
      </c>
      <c r="O707">
        <v>37</v>
      </c>
      <c r="P707">
        <v>3</v>
      </c>
      <c r="Q707">
        <v>345</v>
      </c>
      <c r="R707">
        <v>9</v>
      </c>
      <c r="S707" t="s">
        <v>5213</v>
      </c>
      <c r="T707" t="s">
        <v>5214</v>
      </c>
      <c r="U707" t="s">
        <v>15</v>
      </c>
      <c r="V707" t="s">
        <v>5215</v>
      </c>
      <c r="X707" t="s">
        <v>5217</v>
      </c>
      <c r="Y707" t="b">
        <f t="shared" si="11"/>
        <v>0</v>
      </c>
    </row>
    <row r="708" spans="1:25">
      <c r="A708" s="11" t="s">
        <v>9939</v>
      </c>
      <c r="B708" t="s">
        <v>16</v>
      </c>
      <c r="C708" s="2" t="s">
        <v>8344</v>
      </c>
      <c r="D708" t="s">
        <v>5219</v>
      </c>
      <c r="E708" t="s">
        <v>5218</v>
      </c>
      <c r="F708" s="20">
        <v>1</v>
      </c>
      <c r="H708" t="s">
        <v>5224</v>
      </c>
      <c r="I708">
        <v>1</v>
      </c>
      <c r="K708" t="s">
        <v>5220</v>
      </c>
      <c r="M708" t="str">
        <f>"02732173"</f>
        <v>02732173</v>
      </c>
      <c r="N708" s="2" t="str">
        <f>"20101101"</f>
        <v>20101101</v>
      </c>
      <c r="O708">
        <v>30</v>
      </c>
      <c r="P708">
        <v>6</v>
      </c>
      <c r="Q708">
        <v>671</v>
      </c>
      <c r="R708">
        <v>24</v>
      </c>
      <c r="S708" t="s">
        <v>5221</v>
      </c>
      <c r="T708" t="s">
        <v>5222</v>
      </c>
      <c r="U708" t="s">
        <v>87</v>
      </c>
      <c r="V708" t="s">
        <v>5223</v>
      </c>
      <c r="X708" t="s">
        <v>5225</v>
      </c>
      <c r="Y708" t="b">
        <f t="shared" si="11"/>
        <v>0</v>
      </c>
    </row>
    <row r="709" spans="1:25" hidden="1">
      <c r="A709" s="11" t="s">
        <v>9939</v>
      </c>
      <c r="B709" t="s">
        <v>16</v>
      </c>
      <c r="C709" s="2" t="s">
        <v>8346</v>
      </c>
      <c r="D709" t="s">
        <v>5227</v>
      </c>
      <c r="E709" t="s">
        <v>5226</v>
      </c>
      <c r="F709" s="20">
        <v>0</v>
      </c>
      <c r="G709" t="s">
        <v>9950</v>
      </c>
      <c r="H709" t="s">
        <v>5231</v>
      </c>
      <c r="K709" t="s">
        <v>40</v>
      </c>
      <c r="M709" t="str">
        <f>"15571912"</f>
        <v>15571912</v>
      </c>
      <c r="N709" s="2" t="str">
        <f>"20111001"</f>
        <v>20111001</v>
      </c>
      <c r="O709">
        <v>13</v>
      </c>
      <c r="P709">
        <v>5</v>
      </c>
      <c r="Q709">
        <v>883</v>
      </c>
      <c r="R709">
        <v>8</v>
      </c>
      <c r="S709" t="s">
        <v>5228</v>
      </c>
      <c r="T709" t="s">
        <v>5229</v>
      </c>
      <c r="U709" t="s">
        <v>42</v>
      </c>
      <c r="V709" t="s">
        <v>5230</v>
      </c>
      <c r="X709" t="s">
        <v>5232</v>
      </c>
      <c r="Y709" t="b">
        <f t="shared" si="11"/>
        <v>0</v>
      </c>
    </row>
    <row r="710" spans="1:25" hidden="1">
      <c r="A710" s="11" t="s">
        <v>9939</v>
      </c>
      <c r="B710" t="s">
        <v>16</v>
      </c>
      <c r="C710" s="2" t="s">
        <v>8334</v>
      </c>
      <c r="D710" t="s">
        <v>5234</v>
      </c>
      <c r="E710" t="s">
        <v>5233</v>
      </c>
      <c r="F710" s="20">
        <v>0</v>
      </c>
      <c r="G710" t="s">
        <v>9950</v>
      </c>
      <c r="H710" t="s">
        <v>5238</v>
      </c>
      <c r="K710" t="s">
        <v>140</v>
      </c>
      <c r="M710" t="str">
        <f>"02779536"</f>
        <v>02779536</v>
      </c>
      <c r="N710" s="2" t="str">
        <f>"20141001"</f>
        <v>20141001</v>
      </c>
      <c r="O710">
        <v>119</v>
      </c>
      <c r="Q710">
        <v>53</v>
      </c>
      <c r="R710">
        <v>11</v>
      </c>
      <c r="S710" t="s">
        <v>5235</v>
      </c>
      <c r="T710" t="s">
        <v>5236</v>
      </c>
      <c r="U710" t="s">
        <v>34</v>
      </c>
      <c r="V710" t="s">
        <v>5237</v>
      </c>
      <c r="X710" t="s">
        <v>5239</v>
      </c>
      <c r="Y710" t="b">
        <f t="shared" si="11"/>
        <v>0</v>
      </c>
    </row>
    <row r="711" spans="1:25">
      <c r="A711" s="11" t="s">
        <v>9939</v>
      </c>
      <c r="B711" t="s">
        <v>16</v>
      </c>
      <c r="C711" s="2" t="s">
        <v>8344</v>
      </c>
      <c r="D711" t="s">
        <v>5241</v>
      </c>
      <c r="E711" t="s">
        <v>5240</v>
      </c>
      <c r="F711" s="20">
        <v>1</v>
      </c>
      <c r="H711" t="s">
        <v>5245</v>
      </c>
      <c r="I711">
        <v>0</v>
      </c>
      <c r="J711" t="s">
        <v>9265</v>
      </c>
      <c r="K711" t="s">
        <v>40</v>
      </c>
      <c r="M711" t="str">
        <f>"15571912"</f>
        <v>15571912</v>
      </c>
      <c r="N711" s="2" t="str">
        <f>"20101001"</f>
        <v>20101001</v>
      </c>
      <c r="O711">
        <v>12</v>
      </c>
      <c r="P711">
        <v>5</v>
      </c>
      <c r="Q711">
        <v>806</v>
      </c>
      <c r="R711">
        <v>4</v>
      </c>
      <c r="S711" t="s">
        <v>5242</v>
      </c>
      <c r="T711" t="s">
        <v>5243</v>
      </c>
      <c r="U711" t="s">
        <v>42</v>
      </c>
      <c r="V711" t="s">
        <v>5244</v>
      </c>
      <c r="X711" t="s">
        <v>5246</v>
      </c>
      <c r="Y711" t="b">
        <f t="shared" si="11"/>
        <v>0</v>
      </c>
    </row>
    <row r="712" spans="1:25">
      <c r="A712" s="11" t="s">
        <v>9939</v>
      </c>
      <c r="B712" t="s">
        <v>16</v>
      </c>
      <c r="C712" s="2" t="s">
        <v>8337</v>
      </c>
      <c r="D712" t="s">
        <v>5248</v>
      </c>
      <c r="E712" t="s">
        <v>5247</v>
      </c>
      <c r="F712" s="20">
        <v>1</v>
      </c>
      <c r="H712" t="s">
        <v>5252</v>
      </c>
      <c r="I712">
        <v>1</v>
      </c>
      <c r="K712" t="s">
        <v>2460</v>
      </c>
      <c r="M712" t="str">
        <f>"00121649"</f>
        <v>00121649</v>
      </c>
      <c r="N712" s="2" t="str">
        <f>"20130901"</f>
        <v>20130901</v>
      </c>
      <c r="O712">
        <v>49</v>
      </c>
      <c r="P712">
        <v>9</v>
      </c>
      <c r="Q712">
        <v>1713</v>
      </c>
      <c r="R712">
        <v>10</v>
      </c>
      <c r="S712" t="s">
        <v>5249</v>
      </c>
      <c r="T712" t="s">
        <v>5250</v>
      </c>
      <c r="U712" t="s">
        <v>59</v>
      </c>
      <c r="V712" t="s">
        <v>5251</v>
      </c>
      <c r="X712" t="s">
        <v>5253</v>
      </c>
      <c r="Y712" t="b">
        <f t="shared" si="11"/>
        <v>0</v>
      </c>
    </row>
    <row r="713" spans="1:25">
      <c r="A713" s="11" t="s">
        <v>9939</v>
      </c>
      <c r="B713" t="s">
        <v>16</v>
      </c>
      <c r="C713" s="2" t="s">
        <v>8353</v>
      </c>
      <c r="D713" t="s">
        <v>5255</v>
      </c>
      <c r="E713" t="s">
        <v>5254</v>
      </c>
      <c r="F713" s="20">
        <v>1</v>
      </c>
      <c r="H713" t="s">
        <v>5259</v>
      </c>
      <c r="I713">
        <v>1</v>
      </c>
      <c r="K713" t="s">
        <v>132</v>
      </c>
      <c r="M713" t="str">
        <f>"01471767"</f>
        <v>01471767</v>
      </c>
      <c r="N713" s="2" t="str">
        <f>"20161101"</f>
        <v>20161101</v>
      </c>
      <c r="O713">
        <v>55</v>
      </c>
      <c r="Q713">
        <v>20</v>
      </c>
      <c r="R713">
        <v>12</v>
      </c>
      <c r="S713" t="s">
        <v>5256</v>
      </c>
      <c r="T713" t="s">
        <v>5257</v>
      </c>
      <c r="U713" t="s">
        <v>34</v>
      </c>
      <c r="V713" t="s">
        <v>5258</v>
      </c>
      <c r="X713" t="s">
        <v>5260</v>
      </c>
      <c r="Y713" t="b">
        <f t="shared" si="11"/>
        <v>0</v>
      </c>
    </row>
    <row r="714" spans="1:25" hidden="1">
      <c r="A714" s="11" t="s">
        <v>9939</v>
      </c>
      <c r="B714" t="s">
        <v>16</v>
      </c>
      <c r="C714" s="2" t="s">
        <v>8341</v>
      </c>
      <c r="D714" t="s">
        <v>5262</v>
      </c>
      <c r="E714" t="s">
        <v>5261</v>
      </c>
      <c r="F714" s="20">
        <v>0</v>
      </c>
      <c r="G714" t="s">
        <v>9178</v>
      </c>
      <c r="H714" t="s">
        <v>5266</v>
      </c>
      <c r="K714" t="s">
        <v>40</v>
      </c>
      <c r="M714" t="str">
        <f>"15571912"</f>
        <v>15571912</v>
      </c>
      <c r="N714" s="2" t="str">
        <f>"20091001"</f>
        <v>20091001</v>
      </c>
      <c r="O714">
        <v>11</v>
      </c>
      <c r="P714">
        <v>5</v>
      </c>
      <c r="Q714">
        <v>428</v>
      </c>
      <c r="R714">
        <v>4</v>
      </c>
      <c r="S714" t="s">
        <v>5263</v>
      </c>
      <c r="T714" t="s">
        <v>5264</v>
      </c>
      <c r="U714" t="s">
        <v>42</v>
      </c>
      <c r="V714" t="s">
        <v>5265</v>
      </c>
      <c r="X714" t="s">
        <v>5267</v>
      </c>
      <c r="Y714" t="b">
        <f t="shared" si="11"/>
        <v>0</v>
      </c>
    </row>
    <row r="715" spans="1:25" hidden="1">
      <c r="A715" s="11" t="s">
        <v>9939</v>
      </c>
      <c r="B715" t="s">
        <v>16</v>
      </c>
      <c r="C715" s="2" t="s">
        <v>8339</v>
      </c>
      <c r="D715" t="s">
        <v>5269</v>
      </c>
      <c r="E715" t="s">
        <v>5268</v>
      </c>
      <c r="F715" s="20">
        <v>0</v>
      </c>
      <c r="G715" t="s">
        <v>9178</v>
      </c>
      <c r="H715" t="s">
        <v>5274</v>
      </c>
      <c r="K715" t="s">
        <v>5270</v>
      </c>
      <c r="M715" t="str">
        <f>"10762752"</f>
        <v>10762752</v>
      </c>
      <c r="N715" s="2" t="str">
        <f>"20150201"</f>
        <v>20150201</v>
      </c>
      <c r="O715">
        <v>57</v>
      </c>
      <c r="P715">
        <v>2</v>
      </c>
      <c r="Q715">
        <v>152</v>
      </c>
      <c r="R715">
        <v>7</v>
      </c>
      <c r="S715" t="s">
        <v>5271</v>
      </c>
      <c r="T715" t="s">
        <v>5272</v>
      </c>
      <c r="U715" t="s">
        <v>25</v>
      </c>
      <c r="V715" t="s">
        <v>5273</v>
      </c>
      <c r="X715" t="s">
        <v>5275</v>
      </c>
      <c r="Y715" t="b">
        <f t="shared" si="11"/>
        <v>0</v>
      </c>
    </row>
    <row r="716" spans="1:25" hidden="1">
      <c r="A716" s="11" t="s">
        <v>9939</v>
      </c>
      <c r="B716" t="s">
        <v>16</v>
      </c>
      <c r="C716" s="2" t="s">
        <v>8334</v>
      </c>
      <c r="D716" t="s">
        <v>5277</v>
      </c>
      <c r="E716" t="s">
        <v>5276</v>
      </c>
      <c r="H716" t="s">
        <v>5281</v>
      </c>
      <c r="K716" t="s">
        <v>40</v>
      </c>
      <c r="M716" t="str">
        <f>"15571912"</f>
        <v>15571912</v>
      </c>
      <c r="N716" s="2" t="str">
        <f>"20141001"</f>
        <v>20141001</v>
      </c>
      <c r="O716">
        <v>16</v>
      </c>
      <c r="P716">
        <v>5</v>
      </c>
      <c r="Q716">
        <v>926</v>
      </c>
      <c r="R716">
        <v>8</v>
      </c>
      <c r="S716" t="s">
        <v>5278</v>
      </c>
      <c r="T716" t="s">
        <v>5279</v>
      </c>
      <c r="U716" t="s">
        <v>42</v>
      </c>
      <c r="V716" t="s">
        <v>5280</v>
      </c>
      <c r="X716" t="s">
        <v>5282</v>
      </c>
      <c r="Y716" t="b">
        <f t="shared" si="11"/>
        <v>1</v>
      </c>
    </row>
    <row r="717" spans="1:25">
      <c r="A717" s="11" t="s">
        <v>9939</v>
      </c>
      <c r="B717" t="s">
        <v>16</v>
      </c>
      <c r="C717" s="2" t="s">
        <v>8337</v>
      </c>
      <c r="D717" t="s">
        <v>5284</v>
      </c>
      <c r="E717" t="s">
        <v>5283</v>
      </c>
      <c r="F717" s="20">
        <v>1</v>
      </c>
      <c r="H717" t="s">
        <v>5288</v>
      </c>
      <c r="I717">
        <v>1</v>
      </c>
      <c r="K717" t="s">
        <v>40</v>
      </c>
      <c r="M717" t="str">
        <f>"15571912"</f>
        <v>15571912</v>
      </c>
      <c r="N717" s="2" t="str">
        <f>"20131201"</f>
        <v>20131201</v>
      </c>
      <c r="O717">
        <v>15</v>
      </c>
      <c r="P717">
        <v>6</v>
      </c>
      <c r="Q717">
        <v>1119</v>
      </c>
      <c r="R717">
        <v>6</v>
      </c>
      <c r="S717" t="s">
        <v>5285</v>
      </c>
      <c r="T717" t="s">
        <v>5286</v>
      </c>
      <c r="U717" t="s">
        <v>42</v>
      </c>
      <c r="V717" t="s">
        <v>5287</v>
      </c>
      <c r="X717" t="s">
        <v>5289</v>
      </c>
      <c r="Y717" t="b">
        <f t="shared" si="11"/>
        <v>0</v>
      </c>
    </row>
    <row r="718" spans="1:25">
      <c r="A718" s="11" t="s">
        <v>9939</v>
      </c>
      <c r="B718" t="s">
        <v>16</v>
      </c>
      <c r="C718" s="2" t="s">
        <v>8344</v>
      </c>
      <c r="D718" t="s">
        <v>5291</v>
      </c>
      <c r="E718" t="s">
        <v>5290</v>
      </c>
      <c r="F718" s="20">
        <v>1</v>
      </c>
      <c r="H718" t="s">
        <v>5296</v>
      </c>
      <c r="I718">
        <v>1</v>
      </c>
      <c r="K718" t="s">
        <v>5292</v>
      </c>
      <c r="M718" t="str">
        <f>"08848971"</f>
        <v>08848971</v>
      </c>
      <c r="N718" s="2" t="str">
        <f>"20100901"</f>
        <v>20100901</v>
      </c>
      <c r="O718">
        <v>25</v>
      </c>
      <c r="P718">
        <v>3</v>
      </c>
      <c r="Q718">
        <v>428</v>
      </c>
      <c r="R718">
        <v>22</v>
      </c>
      <c r="S718" t="s">
        <v>5293</v>
      </c>
      <c r="T718" t="s">
        <v>5294</v>
      </c>
      <c r="U718" t="s">
        <v>464</v>
      </c>
      <c r="V718" t="s">
        <v>5295</v>
      </c>
      <c r="X718" t="s">
        <v>5297</v>
      </c>
      <c r="Y718" t="b">
        <f t="shared" si="11"/>
        <v>0</v>
      </c>
    </row>
    <row r="719" spans="1:25" hidden="1">
      <c r="A719" s="11" t="s">
        <v>9939</v>
      </c>
      <c r="B719" t="s">
        <v>69</v>
      </c>
      <c r="C719" s="2" t="s">
        <v>8346</v>
      </c>
      <c r="D719" t="s">
        <v>5299</v>
      </c>
      <c r="E719" t="s">
        <v>5298</v>
      </c>
      <c r="H719" t="s">
        <v>5302</v>
      </c>
      <c r="K719" t="s">
        <v>65</v>
      </c>
      <c r="L719" t="str">
        <f>"9781124263977"</f>
        <v>9781124263977</v>
      </c>
      <c r="M719" t="str">
        <f>"04194209"</f>
        <v>04194209</v>
      </c>
      <c r="N719" s="2" t="str">
        <f>"20110101"</f>
        <v>20110101</v>
      </c>
      <c r="O719">
        <v>71</v>
      </c>
      <c r="P719" t="s">
        <v>688</v>
      </c>
      <c r="Q719">
        <v>4189</v>
      </c>
      <c r="R719">
        <v>1</v>
      </c>
      <c r="S719" t="s">
        <v>5300</v>
      </c>
      <c r="U719" t="s">
        <v>68</v>
      </c>
      <c r="V719" t="s">
        <v>5301</v>
      </c>
      <c r="X719" t="s">
        <v>5303</v>
      </c>
      <c r="Y719" t="b">
        <f t="shared" si="11"/>
        <v>1</v>
      </c>
    </row>
    <row r="720" spans="1:25">
      <c r="A720" s="11" t="s">
        <v>9939</v>
      </c>
      <c r="B720" t="s">
        <v>16</v>
      </c>
      <c r="C720" s="2" t="s">
        <v>8336</v>
      </c>
      <c r="D720" t="s">
        <v>5305</v>
      </c>
      <c r="E720" t="s">
        <v>5304</v>
      </c>
      <c r="F720" s="20">
        <v>1</v>
      </c>
      <c r="H720" t="s">
        <v>5309</v>
      </c>
      <c r="I720">
        <v>0</v>
      </c>
      <c r="J720" t="s">
        <v>9178</v>
      </c>
      <c r="K720" t="s">
        <v>40</v>
      </c>
      <c r="M720" t="str">
        <f>"15571912"</f>
        <v>15571912</v>
      </c>
      <c r="N720" s="2" t="str">
        <f>"20070101"</f>
        <v>20070101</v>
      </c>
      <c r="O720">
        <v>9</v>
      </c>
      <c r="P720">
        <v>1</v>
      </c>
      <c r="Q720">
        <v>35</v>
      </c>
      <c r="R720">
        <v>8</v>
      </c>
      <c r="S720" t="s">
        <v>5306</v>
      </c>
      <c r="T720" t="s">
        <v>5307</v>
      </c>
      <c r="U720" t="s">
        <v>42</v>
      </c>
      <c r="V720" t="s">
        <v>5308</v>
      </c>
      <c r="X720" t="s">
        <v>5310</v>
      </c>
      <c r="Y720" t="b">
        <f t="shared" si="11"/>
        <v>0</v>
      </c>
    </row>
    <row r="721" spans="1:25" hidden="1">
      <c r="A721" s="11" t="s">
        <v>9939</v>
      </c>
      <c r="B721" t="s">
        <v>16</v>
      </c>
      <c r="C721" s="2" t="s">
        <v>8339</v>
      </c>
      <c r="D721" t="s">
        <v>5312</v>
      </c>
      <c r="E721" t="s">
        <v>5311</v>
      </c>
      <c r="F721" s="20">
        <v>0</v>
      </c>
      <c r="G721" t="s">
        <v>9237</v>
      </c>
      <c r="H721" t="s">
        <v>5316</v>
      </c>
      <c r="K721" t="s">
        <v>3301</v>
      </c>
      <c r="M721" t="str">
        <f>"01650327"</f>
        <v>01650327</v>
      </c>
      <c r="N721" s="2" t="str">
        <f>"20150315"</f>
        <v>20150315</v>
      </c>
      <c r="O721">
        <v>174</v>
      </c>
      <c r="Q721">
        <v>106</v>
      </c>
      <c r="R721">
        <v>7</v>
      </c>
      <c r="S721" t="s">
        <v>5313</v>
      </c>
      <c r="T721" t="s">
        <v>5314</v>
      </c>
      <c r="U721" t="s">
        <v>34</v>
      </c>
      <c r="V721" t="s">
        <v>5315</v>
      </c>
      <c r="X721" t="s">
        <v>5317</v>
      </c>
      <c r="Y721" t="b">
        <f t="shared" si="11"/>
        <v>0</v>
      </c>
    </row>
    <row r="722" spans="1:25" hidden="1">
      <c r="A722" s="11" t="s">
        <v>9939</v>
      </c>
      <c r="B722" t="s">
        <v>16</v>
      </c>
      <c r="C722" s="2" t="s">
        <v>8343</v>
      </c>
      <c r="D722" t="s">
        <v>5319</v>
      </c>
      <c r="E722" t="s">
        <v>5318</v>
      </c>
      <c r="H722" t="s">
        <v>5323</v>
      </c>
      <c r="K722" t="s">
        <v>132</v>
      </c>
      <c r="M722" t="str">
        <f>"01471767"</f>
        <v>01471767</v>
      </c>
      <c r="N722" s="2" t="str">
        <f>"20170901"</f>
        <v>20170901</v>
      </c>
      <c r="O722">
        <v>60</v>
      </c>
      <c r="Q722">
        <v>51</v>
      </c>
      <c r="R722">
        <v>9</v>
      </c>
      <c r="S722" t="s">
        <v>5320</v>
      </c>
      <c r="T722" t="s">
        <v>5321</v>
      </c>
      <c r="U722" t="s">
        <v>34</v>
      </c>
      <c r="V722" t="s">
        <v>5322</v>
      </c>
      <c r="X722" t="s">
        <v>5324</v>
      </c>
      <c r="Y722" t="b">
        <f t="shared" si="11"/>
        <v>1</v>
      </c>
    </row>
    <row r="723" spans="1:25">
      <c r="A723" s="11" t="s">
        <v>9939</v>
      </c>
      <c r="B723" t="s">
        <v>16</v>
      </c>
      <c r="C723" s="2" t="s">
        <v>8335</v>
      </c>
      <c r="D723" t="s">
        <v>5326</v>
      </c>
      <c r="E723" t="s">
        <v>5325</v>
      </c>
      <c r="F723" s="20">
        <v>1</v>
      </c>
      <c r="H723" t="s">
        <v>5330</v>
      </c>
      <c r="I723">
        <v>1</v>
      </c>
      <c r="K723" t="s">
        <v>1620</v>
      </c>
      <c r="M723" t="str">
        <f>"10621024"</f>
        <v>10621024</v>
      </c>
      <c r="N723" s="2" t="str">
        <f>"20040901"</f>
        <v>20040901</v>
      </c>
      <c r="O723">
        <v>13</v>
      </c>
      <c r="P723">
        <v>3</v>
      </c>
      <c r="Q723">
        <v>341</v>
      </c>
      <c r="R723">
        <v>16</v>
      </c>
      <c r="S723" t="s">
        <v>5327</v>
      </c>
      <c r="T723" t="s">
        <v>5328</v>
      </c>
      <c r="U723" t="s">
        <v>42</v>
      </c>
      <c r="V723" t="s">
        <v>5329</v>
      </c>
      <c r="X723" t="s">
        <v>5331</v>
      </c>
      <c r="Y723" t="b">
        <f t="shared" si="11"/>
        <v>0</v>
      </c>
    </row>
    <row r="724" spans="1:25" hidden="1">
      <c r="A724" s="11" t="s">
        <v>9939</v>
      </c>
      <c r="B724" t="s">
        <v>16</v>
      </c>
      <c r="C724" s="2" t="s">
        <v>8337</v>
      </c>
      <c r="D724" t="s">
        <v>5333</v>
      </c>
      <c r="E724" t="s">
        <v>5332</v>
      </c>
      <c r="F724" s="20">
        <v>0</v>
      </c>
      <c r="G724" t="s">
        <v>9178</v>
      </c>
      <c r="H724" t="s">
        <v>5338</v>
      </c>
      <c r="K724" t="s">
        <v>5334</v>
      </c>
      <c r="M724" t="str">
        <f>"15416577"</f>
        <v>15416577</v>
      </c>
      <c r="N724" s="2" t="str">
        <f>"20130101"</f>
        <v>20130101</v>
      </c>
      <c r="O724">
        <v>27</v>
      </c>
      <c r="P724">
        <v>4</v>
      </c>
      <c r="Q724">
        <v>276</v>
      </c>
      <c r="R724">
        <v>20</v>
      </c>
      <c r="S724" t="s">
        <v>5335</v>
      </c>
      <c r="T724" t="s">
        <v>5336</v>
      </c>
      <c r="U724" t="s">
        <v>1424</v>
      </c>
      <c r="V724" t="s">
        <v>5337</v>
      </c>
      <c r="X724" t="s">
        <v>5339</v>
      </c>
      <c r="Y724" t="b">
        <f t="shared" si="11"/>
        <v>0</v>
      </c>
    </row>
    <row r="725" spans="1:25">
      <c r="A725" s="11" t="s">
        <v>9939</v>
      </c>
      <c r="B725" t="s">
        <v>16</v>
      </c>
      <c r="C725" s="2" t="s">
        <v>8335</v>
      </c>
      <c r="D725" t="s">
        <v>5341</v>
      </c>
      <c r="E725" t="s">
        <v>5340</v>
      </c>
      <c r="F725" s="20">
        <v>1</v>
      </c>
      <c r="H725" t="s">
        <v>5345</v>
      </c>
      <c r="I725">
        <v>1</v>
      </c>
      <c r="K725" t="s">
        <v>252</v>
      </c>
      <c r="M725" t="str">
        <f>"00220221"</f>
        <v>00220221</v>
      </c>
      <c r="N725" s="2" t="str">
        <f>"20041101"</f>
        <v>20041101</v>
      </c>
      <c r="O725">
        <v>35</v>
      </c>
      <c r="P725">
        <v>6</v>
      </c>
      <c r="Q725">
        <v>689</v>
      </c>
      <c r="R725">
        <v>16</v>
      </c>
      <c r="S725" t="s">
        <v>5342</v>
      </c>
      <c r="T725" t="s">
        <v>5343</v>
      </c>
      <c r="U725" t="s">
        <v>15</v>
      </c>
      <c r="V725" t="s">
        <v>5344</v>
      </c>
      <c r="X725" t="s">
        <v>5346</v>
      </c>
      <c r="Y725" t="b">
        <f t="shared" si="11"/>
        <v>0</v>
      </c>
    </row>
    <row r="726" spans="1:25">
      <c r="A726" s="11" t="s">
        <v>9939</v>
      </c>
      <c r="B726" t="s">
        <v>16</v>
      </c>
      <c r="C726" s="2" t="s">
        <v>8334</v>
      </c>
      <c r="D726" t="s">
        <v>5348</v>
      </c>
      <c r="E726" t="s">
        <v>5347</v>
      </c>
      <c r="F726" s="20">
        <v>1</v>
      </c>
      <c r="H726" t="s">
        <v>874</v>
      </c>
      <c r="I726">
        <v>0</v>
      </c>
      <c r="J726" t="s">
        <v>9249</v>
      </c>
      <c r="K726" t="s">
        <v>870</v>
      </c>
      <c r="M726" t="str">
        <f>"18272517"</f>
        <v>18272517</v>
      </c>
      <c r="N726" s="2" t="str">
        <f>"20140501"</f>
        <v>20140501</v>
      </c>
      <c r="O726">
        <v>9</v>
      </c>
      <c r="P726">
        <v>2</v>
      </c>
      <c r="Q726">
        <v>177</v>
      </c>
      <c r="R726">
        <v>25</v>
      </c>
      <c r="S726" t="s">
        <v>5349</v>
      </c>
      <c r="U726" t="s">
        <v>872</v>
      </c>
      <c r="V726" t="s">
        <v>5350</v>
      </c>
      <c r="X726" t="s">
        <v>5351</v>
      </c>
      <c r="Y726" t="b">
        <f t="shared" si="11"/>
        <v>0</v>
      </c>
    </row>
    <row r="727" spans="1:25">
      <c r="A727" s="11" t="s">
        <v>9939</v>
      </c>
      <c r="B727" t="s">
        <v>16</v>
      </c>
      <c r="C727" s="2" t="s">
        <v>8340</v>
      </c>
      <c r="D727" t="s">
        <v>5353</v>
      </c>
      <c r="E727" t="s">
        <v>5352</v>
      </c>
      <c r="F727" s="20">
        <v>1</v>
      </c>
      <c r="H727" t="s">
        <v>5357</v>
      </c>
      <c r="I727">
        <v>1</v>
      </c>
      <c r="K727" t="s">
        <v>703</v>
      </c>
      <c r="M727" t="str">
        <f>"00219029"</f>
        <v>00219029</v>
      </c>
      <c r="N727" s="2" t="str">
        <f>"20180901"</f>
        <v>20180901</v>
      </c>
      <c r="O727">
        <v>48</v>
      </c>
      <c r="P727">
        <v>9</v>
      </c>
      <c r="Q727">
        <v>506</v>
      </c>
      <c r="R727">
        <v>13</v>
      </c>
      <c r="S727" t="s">
        <v>5354</v>
      </c>
      <c r="T727" t="s">
        <v>5355</v>
      </c>
      <c r="U727" t="s">
        <v>730</v>
      </c>
      <c r="V727" t="s">
        <v>5356</v>
      </c>
      <c r="X727" t="s">
        <v>5358</v>
      </c>
      <c r="Y727" t="b">
        <f t="shared" si="11"/>
        <v>0</v>
      </c>
    </row>
    <row r="728" spans="1:25" hidden="1">
      <c r="A728" s="11" t="s">
        <v>9939</v>
      </c>
      <c r="B728" t="s">
        <v>16</v>
      </c>
      <c r="C728" s="2" t="s">
        <v>8341</v>
      </c>
      <c r="D728" t="s">
        <v>5360</v>
      </c>
      <c r="E728" t="s">
        <v>5359</v>
      </c>
      <c r="H728" t="s">
        <v>5365</v>
      </c>
      <c r="K728" t="s">
        <v>5361</v>
      </c>
      <c r="M728" t="str">
        <f>"10529284"</f>
        <v>10529284</v>
      </c>
      <c r="N728" s="2" t="str">
        <f>"20090501"</f>
        <v>20090501</v>
      </c>
      <c r="O728">
        <v>19</v>
      </c>
      <c r="P728">
        <v>3</v>
      </c>
      <c r="Q728">
        <v>182</v>
      </c>
      <c r="R728">
        <v>16</v>
      </c>
      <c r="S728" t="s">
        <v>5362</v>
      </c>
      <c r="T728" t="s">
        <v>5363</v>
      </c>
      <c r="U728" t="s">
        <v>224</v>
      </c>
      <c r="V728" t="s">
        <v>5364</v>
      </c>
      <c r="X728" t="s">
        <v>5366</v>
      </c>
      <c r="Y728" t="b">
        <f t="shared" si="11"/>
        <v>1</v>
      </c>
    </row>
    <row r="729" spans="1:25">
      <c r="A729" s="11" t="s">
        <v>9939</v>
      </c>
      <c r="B729" t="s">
        <v>16</v>
      </c>
      <c r="C729" s="2" t="s">
        <v>8347</v>
      </c>
      <c r="D729" t="s">
        <v>5368</v>
      </c>
      <c r="E729" t="s">
        <v>5367</v>
      </c>
      <c r="F729" s="20">
        <v>1</v>
      </c>
      <c r="H729" t="s">
        <v>5372</v>
      </c>
      <c r="I729">
        <v>1</v>
      </c>
      <c r="K729" t="s">
        <v>132</v>
      </c>
      <c r="M729" t="str">
        <f>"01471767"</f>
        <v>01471767</v>
      </c>
      <c r="N729" s="2" t="str">
        <f>"20081101"</f>
        <v>20081101</v>
      </c>
      <c r="O729">
        <v>32</v>
      </c>
      <c r="P729">
        <v>6</v>
      </c>
      <c r="Q729">
        <v>578</v>
      </c>
      <c r="R729">
        <v>11</v>
      </c>
      <c r="S729" t="s">
        <v>5369</v>
      </c>
      <c r="T729" t="s">
        <v>5370</v>
      </c>
      <c r="U729" t="s">
        <v>34</v>
      </c>
      <c r="V729" t="s">
        <v>5371</v>
      </c>
      <c r="X729" t="s">
        <v>5373</v>
      </c>
      <c r="Y729" t="b">
        <f t="shared" si="11"/>
        <v>0</v>
      </c>
    </row>
    <row r="730" spans="1:25" hidden="1">
      <c r="A730" s="11" t="s">
        <v>9939</v>
      </c>
      <c r="B730" t="s">
        <v>16</v>
      </c>
      <c r="C730" s="2" t="s">
        <v>8337</v>
      </c>
      <c r="D730" t="s">
        <v>5375</v>
      </c>
      <c r="E730" t="s">
        <v>5374</v>
      </c>
      <c r="F730" s="20">
        <v>0</v>
      </c>
      <c r="G730" t="s">
        <v>9178</v>
      </c>
      <c r="H730" t="s">
        <v>5379</v>
      </c>
      <c r="K730" t="s">
        <v>1414</v>
      </c>
      <c r="M730" t="str">
        <f>"13557858"</f>
        <v>13557858</v>
      </c>
      <c r="N730" s="2" t="str">
        <f>"20130601"</f>
        <v>20130601</v>
      </c>
      <c r="O730">
        <v>18</v>
      </c>
      <c r="P730">
        <v>3</v>
      </c>
      <c r="Q730">
        <v>244</v>
      </c>
      <c r="R730">
        <v>18</v>
      </c>
      <c r="S730" t="s">
        <v>5376</v>
      </c>
      <c r="T730" t="s">
        <v>5377</v>
      </c>
      <c r="U730" t="s">
        <v>87</v>
      </c>
      <c r="V730" t="s">
        <v>5378</v>
      </c>
      <c r="X730" t="s">
        <v>5380</v>
      </c>
      <c r="Y730" t="b">
        <f t="shared" si="11"/>
        <v>0</v>
      </c>
    </row>
    <row r="731" spans="1:25" hidden="1">
      <c r="A731" s="11" t="s">
        <v>9939</v>
      </c>
      <c r="B731" t="s">
        <v>69</v>
      </c>
      <c r="C731" s="2" t="s">
        <v>8334</v>
      </c>
      <c r="D731" t="s">
        <v>5382</v>
      </c>
      <c r="E731" t="s">
        <v>5381</v>
      </c>
      <c r="H731" t="s">
        <v>5385</v>
      </c>
      <c r="K731" t="s">
        <v>65</v>
      </c>
      <c r="L731" t="str">
        <f>"9781303399497"</f>
        <v>9781303399497</v>
      </c>
      <c r="M731" t="str">
        <f>"04194209"</f>
        <v>04194209</v>
      </c>
      <c r="N731" s="2" t="str">
        <f>"20140101"</f>
        <v>20140101</v>
      </c>
      <c r="O731">
        <v>75</v>
      </c>
      <c r="P731" t="s">
        <v>447</v>
      </c>
      <c r="S731" t="s">
        <v>5383</v>
      </c>
      <c r="U731" t="s">
        <v>68</v>
      </c>
      <c r="V731" t="s">
        <v>5384</v>
      </c>
      <c r="X731" t="s">
        <v>5386</v>
      </c>
      <c r="Y731" t="b">
        <f t="shared" si="11"/>
        <v>1</v>
      </c>
    </row>
    <row r="732" spans="1:25">
      <c r="A732" s="11" t="s">
        <v>9939</v>
      </c>
      <c r="B732" t="s">
        <v>16</v>
      </c>
      <c r="C732" s="2" t="s">
        <v>8340</v>
      </c>
      <c r="D732" t="s">
        <v>5388</v>
      </c>
      <c r="E732" t="s">
        <v>5387</v>
      </c>
      <c r="F732" s="20">
        <v>1</v>
      </c>
      <c r="H732" t="s">
        <v>5392</v>
      </c>
      <c r="I732">
        <v>1</v>
      </c>
      <c r="K732" t="s">
        <v>1331</v>
      </c>
      <c r="M732" t="str">
        <f>"0992986X"</f>
        <v>0992986X</v>
      </c>
      <c r="N732" s="2" t="str">
        <f>"20180326"</f>
        <v>20180326</v>
      </c>
      <c r="O732">
        <v>31</v>
      </c>
      <c r="P732">
        <v>1</v>
      </c>
      <c r="S732" t="s">
        <v>5389</v>
      </c>
      <c r="T732" t="s">
        <v>5390</v>
      </c>
      <c r="U732" t="s">
        <v>1333</v>
      </c>
      <c r="V732" t="s">
        <v>5391</v>
      </c>
      <c r="X732" t="s">
        <v>5393</v>
      </c>
      <c r="Y732" t="b">
        <f t="shared" si="11"/>
        <v>0</v>
      </c>
    </row>
    <row r="733" spans="1:25">
      <c r="A733" s="11" t="s">
        <v>9939</v>
      </c>
      <c r="B733" t="s">
        <v>16</v>
      </c>
      <c r="C733" s="2" t="s">
        <v>8349</v>
      </c>
      <c r="D733" t="s">
        <v>5395</v>
      </c>
      <c r="E733" t="s">
        <v>5394</v>
      </c>
      <c r="F733" s="20">
        <v>1</v>
      </c>
      <c r="H733" t="s">
        <v>5399</v>
      </c>
      <c r="I733">
        <v>1</v>
      </c>
      <c r="K733" t="s">
        <v>48</v>
      </c>
      <c r="M733" t="str">
        <f>"07399863"</f>
        <v>07399863</v>
      </c>
      <c r="N733" s="2" t="str">
        <f>"20190201"</f>
        <v>20190201</v>
      </c>
      <c r="O733">
        <v>41</v>
      </c>
      <c r="P733">
        <v>1</v>
      </c>
      <c r="Q733">
        <v>3</v>
      </c>
      <c r="R733">
        <v>26</v>
      </c>
      <c r="S733" t="s">
        <v>5396</v>
      </c>
      <c r="T733" t="s">
        <v>5397</v>
      </c>
      <c r="U733" t="s">
        <v>15</v>
      </c>
      <c r="V733" t="s">
        <v>5398</v>
      </c>
      <c r="X733" t="s">
        <v>5400</v>
      </c>
      <c r="Y733" t="b">
        <f t="shared" si="11"/>
        <v>0</v>
      </c>
    </row>
    <row r="734" spans="1:25" hidden="1">
      <c r="A734" s="11" t="s">
        <v>9939</v>
      </c>
      <c r="B734" t="s">
        <v>16</v>
      </c>
      <c r="C734" s="2" t="s">
        <v>8338</v>
      </c>
      <c r="D734" t="s">
        <v>5402</v>
      </c>
      <c r="E734" t="s">
        <v>5401</v>
      </c>
      <c r="H734" t="s">
        <v>5407</v>
      </c>
      <c r="K734" t="s">
        <v>5403</v>
      </c>
      <c r="M734" t="str">
        <f>"08870446"</f>
        <v>08870446</v>
      </c>
      <c r="N734" s="2" t="str">
        <f>"20060201"</f>
        <v>20060201</v>
      </c>
      <c r="O734">
        <v>21</v>
      </c>
      <c r="P734">
        <v>1</v>
      </c>
      <c r="Q734">
        <v>49</v>
      </c>
      <c r="R734">
        <v>15</v>
      </c>
      <c r="S734" t="s">
        <v>5404</v>
      </c>
      <c r="T734" t="s">
        <v>5405</v>
      </c>
      <c r="U734" t="s">
        <v>87</v>
      </c>
      <c r="V734" t="s">
        <v>5406</v>
      </c>
      <c r="X734" t="s">
        <v>5408</v>
      </c>
      <c r="Y734" t="b">
        <f t="shared" si="11"/>
        <v>1</v>
      </c>
    </row>
    <row r="735" spans="1:25" hidden="1">
      <c r="A735" s="11" t="s">
        <v>9939</v>
      </c>
      <c r="B735" t="s">
        <v>16</v>
      </c>
      <c r="C735" s="2" t="s">
        <v>8344</v>
      </c>
      <c r="D735" t="s">
        <v>5410</v>
      </c>
      <c r="E735" t="s">
        <v>5409</v>
      </c>
      <c r="H735" t="s">
        <v>5414</v>
      </c>
      <c r="K735" t="s">
        <v>4086</v>
      </c>
      <c r="M735" t="str">
        <f>"13672223"</f>
        <v>13672223</v>
      </c>
      <c r="N735" s="2" t="str">
        <f>"20101201"</f>
        <v>20101201</v>
      </c>
      <c r="O735">
        <v>13</v>
      </c>
      <c r="P735">
        <v>4</v>
      </c>
      <c r="Q735">
        <v>293</v>
      </c>
      <c r="R735">
        <v>10</v>
      </c>
      <c r="S735" t="s">
        <v>5411</v>
      </c>
      <c r="T735" t="s">
        <v>5412</v>
      </c>
      <c r="U735" t="s">
        <v>730</v>
      </c>
      <c r="V735" t="s">
        <v>5413</v>
      </c>
      <c r="X735" t="s">
        <v>5415</v>
      </c>
      <c r="Y735" t="b">
        <f t="shared" si="11"/>
        <v>1</v>
      </c>
    </row>
    <row r="736" spans="1:25">
      <c r="A736" s="11" t="s">
        <v>9939</v>
      </c>
      <c r="B736" t="s">
        <v>395</v>
      </c>
      <c r="C736" s="2" t="s">
        <v>8334</v>
      </c>
      <c r="D736" t="s">
        <v>5417</v>
      </c>
      <c r="E736" t="s">
        <v>5416</v>
      </c>
      <c r="F736" s="20">
        <v>1</v>
      </c>
      <c r="H736" t="s">
        <v>5420</v>
      </c>
      <c r="I736">
        <v>1</v>
      </c>
      <c r="K736" t="s">
        <v>695</v>
      </c>
      <c r="L736" t="str">
        <f>"9781409464242; 9781409464259; 9781472407832"</f>
        <v>9781409464242; 9781409464259; 9781472407832</v>
      </c>
      <c r="N736" s="2" t="str">
        <f>"20140101"</f>
        <v>20140101</v>
      </c>
      <c r="Q736">
        <v>103</v>
      </c>
      <c r="R736">
        <v>24</v>
      </c>
      <c r="S736" t="s">
        <v>5418</v>
      </c>
      <c r="U736" t="s">
        <v>697</v>
      </c>
      <c r="V736" t="s">
        <v>5419</v>
      </c>
      <c r="X736" t="s">
        <v>5421</v>
      </c>
      <c r="Y736" t="b">
        <f t="shared" si="11"/>
        <v>0</v>
      </c>
    </row>
    <row r="737" spans="1:25" hidden="1">
      <c r="A737" s="11" t="s">
        <v>9939</v>
      </c>
      <c r="B737" t="s">
        <v>16</v>
      </c>
      <c r="C737" s="2" t="s">
        <v>8348</v>
      </c>
      <c r="D737" t="s">
        <v>5423</v>
      </c>
      <c r="E737" t="s">
        <v>5422</v>
      </c>
      <c r="H737" t="s">
        <v>5427</v>
      </c>
      <c r="K737" t="s">
        <v>703</v>
      </c>
      <c r="M737" t="str">
        <f>"00219029"</f>
        <v>00219029</v>
      </c>
      <c r="N737" s="2" t="str">
        <f>"20050501"</f>
        <v>20050501</v>
      </c>
      <c r="O737">
        <v>35</v>
      </c>
      <c r="P737">
        <v>5</v>
      </c>
      <c r="Q737">
        <v>956</v>
      </c>
      <c r="R737">
        <v>19</v>
      </c>
      <c r="S737" t="s">
        <v>5424</v>
      </c>
      <c r="T737" t="s">
        <v>5425</v>
      </c>
      <c r="U737" t="s">
        <v>464</v>
      </c>
      <c r="V737" t="s">
        <v>5426</v>
      </c>
      <c r="X737" t="s">
        <v>5428</v>
      </c>
      <c r="Y737" t="b">
        <f t="shared" si="11"/>
        <v>1</v>
      </c>
    </row>
    <row r="738" spans="1:25" hidden="1">
      <c r="A738" s="11" t="s">
        <v>9939</v>
      </c>
      <c r="B738" t="s">
        <v>16</v>
      </c>
      <c r="C738" s="2" t="s">
        <v>8344</v>
      </c>
      <c r="D738" t="s">
        <v>5430</v>
      </c>
      <c r="E738" t="s">
        <v>5429</v>
      </c>
      <c r="F738" s="20">
        <v>0</v>
      </c>
      <c r="G738" t="s">
        <v>9178</v>
      </c>
      <c r="H738" t="s">
        <v>5434</v>
      </c>
      <c r="K738" t="s">
        <v>213</v>
      </c>
      <c r="M738" t="str">
        <f>"03788733"</f>
        <v>03788733</v>
      </c>
      <c r="N738" s="2" t="str">
        <f>"20101001"</f>
        <v>20101001</v>
      </c>
      <c r="O738">
        <v>32</v>
      </c>
      <c r="P738">
        <v>4</v>
      </c>
      <c r="Q738">
        <v>253</v>
      </c>
      <c r="R738">
        <v>10</v>
      </c>
      <c r="S738" t="s">
        <v>5431</v>
      </c>
      <c r="T738" t="s">
        <v>5432</v>
      </c>
      <c r="U738" t="s">
        <v>34</v>
      </c>
      <c r="V738" t="s">
        <v>5433</v>
      </c>
      <c r="X738" t="s">
        <v>5435</v>
      </c>
      <c r="Y738" t="b">
        <f t="shared" si="11"/>
        <v>0</v>
      </c>
    </row>
    <row r="739" spans="1:25" hidden="1">
      <c r="A739" s="11" t="s">
        <v>9939</v>
      </c>
      <c r="B739" t="s">
        <v>16</v>
      </c>
      <c r="C739" s="2" t="s">
        <v>8340</v>
      </c>
      <c r="D739" t="s">
        <v>5437</v>
      </c>
      <c r="E739" t="s">
        <v>5436</v>
      </c>
      <c r="H739" t="s">
        <v>5442</v>
      </c>
      <c r="K739" t="s">
        <v>5438</v>
      </c>
      <c r="M739" t="str">
        <f>"02134748"</f>
        <v>02134748</v>
      </c>
      <c r="N739" s="2" t="str">
        <f>"20181001"</f>
        <v>20181001</v>
      </c>
      <c r="O739">
        <v>33</v>
      </c>
      <c r="P739">
        <v>3</v>
      </c>
      <c r="Q739">
        <v>682</v>
      </c>
      <c r="R739">
        <v>33</v>
      </c>
      <c r="S739" t="s">
        <v>5439</v>
      </c>
      <c r="T739" t="s">
        <v>5440</v>
      </c>
      <c r="U739" t="s">
        <v>87</v>
      </c>
      <c r="V739" t="s">
        <v>5441</v>
      </c>
      <c r="X739" t="s">
        <v>5443</v>
      </c>
      <c r="Y739" t="b">
        <f t="shared" si="11"/>
        <v>1</v>
      </c>
    </row>
    <row r="740" spans="1:25" hidden="1">
      <c r="A740" s="11" t="s">
        <v>9939</v>
      </c>
      <c r="B740" t="s">
        <v>16</v>
      </c>
      <c r="C740" s="2" t="s">
        <v>8342</v>
      </c>
      <c r="D740" t="s">
        <v>5445</v>
      </c>
      <c r="E740" t="s">
        <v>5444</v>
      </c>
      <c r="H740" t="s">
        <v>5449</v>
      </c>
      <c r="K740" t="s">
        <v>1160</v>
      </c>
      <c r="M740" t="str">
        <f>"01693816"</f>
        <v>01693816</v>
      </c>
      <c r="N740" s="2" t="str">
        <f>"20120601"</f>
        <v>20120601</v>
      </c>
      <c r="O740">
        <v>27</v>
      </c>
      <c r="P740">
        <v>2</v>
      </c>
      <c r="Q740">
        <v>139</v>
      </c>
      <c r="R740">
        <v>10</v>
      </c>
      <c r="S740" t="s">
        <v>5446</v>
      </c>
      <c r="T740" t="s">
        <v>5447</v>
      </c>
      <c r="U740" t="s">
        <v>42</v>
      </c>
      <c r="V740" t="s">
        <v>5448</v>
      </c>
      <c r="X740" t="s">
        <v>5450</v>
      </c>
      <c r="Y740" t="b">
        <f t="shared" si="11"/>
        <v>1</v>
      </c>
    </row>
    <row r="741" spans="1:25" hidden="1">
      <c r="A741" s="11" t="s">
        <v>9939</v>
      </c>
      <c r="B741" t="s">
        <v>69</v>
      </c>
      <c r="C741" s="2" t="s">
        <v>8334</v>
      </c>
      <c r="D741" t="s">
        <v>5452</v>
      </c>
      <c r="E741" t="s">
        <v>5451</v>
      </c>
      <c r="F741" s="20">
        <v>0</v>
      </c>
      <c r="G741" t="s">
        <v>9249</v>
      </c>
      <c r="H741" t="s">
        <v>5455</v>
      </c>
      <c r="K741" t="s">
        <v>101</v>
      </c>
      <c r="L741" t="str">
        <f>"9781303445415"</f>
        <v>9781303445415</v>
      </c>
      <c r="M741" t="str">
        <f>"04194217"</f>
        <v>04194217</v>
      </c>
      <c r="N741" s="2" t="str">
        <f>"20140101"</f>
        <v>20140101</v>
      </c>
      <c r="O741">
        <v>75</v>
      </c>
      <c r="P741" t="s">
        <v>711</v>
      </c>
      <c r="S741" t="s">
        <v>5453</v>
      </c>
      <c r="U741" t="s">
        <v>68</v>
      </c>
      <c r="V741" t="s">
        <v>5454</v>
      </c>
      <c r="X741" t="s">
        <v>5456</v>
      </c>
      <c r="Y741" t="b">
        <f t="shared" si="11"/>
        <v>0</v>
      </c>
    </row>
    <row r="742" spans="1:25">
      <c r="A742" s="11" t="s">
        <v>9939</v>
      </c>
      <c r="B742" t="s">
        <v>16</v>
      </c>
      <c r="C742" s="2" t="s">
        <v>8348</v>
      </c>
      <c r="D742" t="s">
        <v>5458</v>
      </c>
      <c r="E742" t="s">
        <v>5457</v>
      </c>
      <c r="F742" s="20">
        <v>1</v>
      </c>
      <c r="H742" t="s">
        <v>5462</v>
      </c>
      <c r="I742">
        <v>1</v>
      </c>
      <c r="K742" t="s">
        <v>485</v>
      </c>
      <c r="M742" t="str">
        <f>"10964045"</f>
        <v>10964045</v>
      </c>
      <c r="N742" s="2" t="str">
        <f>"20051001"</f>
        <v>20051001</v>
      </c>
      <c r="O742">
        <v>7</v>
      </c>
      <c r="P742">
        <v>4</v>
      </c>
      <c r="Q742">
        <v>269</v>
      </c>
      <c r="R742">
        <v>13</v>
      </c>
      <c r="S742" t="s">
        <v>5459</v>
      </c>
      <c r="T742" t="s">
        <v>5460</v>
      </c>
      <c r="U742" t="s">
        <v>42</v>
      </c>
      <c r="V742" t="s">
        <v>5461</v>
      </c>
      <c r="X742" t="s">
        <v>5463</v>
      </c>
      <c r="Y742" t="b">
        <f t="shared" si="11"/>
        <v>0</v>
      </c>
    </row>
    <row r="743" spans="1:25">
      <c r="A743" s="11" t="s">
        <v>9939</v>
      </c>
      <c r="B743" t="s">
        <v>16</v>
      </c>
      <c r="C743" s="2" t="s">
        <v>8334</v>
      </c>
      <c r="D743" t="s">
        <v>5465</v>
      </c>
      <c r="E743" t="s">
        <v>5464</v>
      </c>
      <c r="F743" s="20">
        <v>1</v>
      </c>
      <c r="H743" t="s">
        <v>5469</v>
      </c>
      <c r="I743">
        <v>0</v>
      </c>
      <c r="J743" t="s">
        <v>9178</v>
      </c>
      <c r="K743" t="s">
        <v>1774</v>
      </c>
      <c r="M743" t="str">
        <f>"0049089X"</f>
        <v>0049089X</v>
      </c>
      <c r="N743" s="2" t="str">
        <f>"20140901"</f>
        <v>20140901</v>
      </c>
      <c r="O743">
        <v>47</v>
      </c>
      <c r="Q743">
        <v>165</v>
      </c>
      <c r="R743">
        <v>13</v>
      </c>
      <c r="S743" t="s">
        <v>5466</v>
      </c>
      <c r="T743" t="s">
        <v>5467</v>
      </c>
      <c r="U743" t="s">
        <v>34</v>
      </c>
      <c r="V743" t="s">
        <v>5468</v>
      </c>
      <c r="X743" t="s">
        <v>5470</v>
      </c>
      <c r="Y743" t="b">
        <f t="shared" si="11"/>
        <v>0</v>
      </c>
    </row>
    <row r="744" spans="1:25" hidden="1">
      <c r="A744" s="11" t="s">
        <v>9939</v>
      </c>
      <c r="B744" t="s">
        <v>16</v>
      </c>
      <c r="C744" s="2" t="s">
        <v>8349</v>
      </c>
      <c r="D744" t="s">
        <v>5472</v>
      </c>
      <c r="E744" t="s">
        <v>5471</v>
      </c>
      <c r="F744" s="20">
        <v>0</v>
      </c>
      <c r="G744" t="s">
        <v>9249</v>
      </c>
      <c r="H744" t="s">
        <v>5477</v>
      </c>
      <c r="K744" t="s">
        <v>5473</v>
      </c>
      <c r="M744" t="str">
        <f>"17554586"</f>
        <v>17554586</v>
      </c>
      <c r="N744" s="2" t="str">
        <f>"20191101"</f>
        <v>20191101</v>
      </c>
      <c r="O744">
        <v>33</v>
      </c>
      <c r="S744" t="s">
        <v>5474</v>
      </c>
      <c r="T744" t="s">
        <v>5475</v>
      </c>
      <c r="U744" t="s">
        <v>34</v>
      </c>
      <c r="V744" t="s">
        <v>5476</v>
      </c>
      <c r="X744" t="s">
        <v>5478</v>
      </c>
      <c r="Y744" t="b">
        <f t="shared" si="11"/>
        <v>0</v>
      </c>
    </row>
    <row r="745" spans="1:25">
      <c r="A745" s="11" t="s">
        <v>9939</v>
      </c>
      <c r="B745" t="s">
        <v>16</v>
      </c>
      <c r="C745" s="2" t="s">
        <v>8334</v>
      </c>
      <c r="D745" t="s">
        <v>5480</v>
      </c>
      <c r="E745" t="s">
        <v>5479</v>
      </c>
      <c r="F745" s="20">
        <v>1</v>
      </c>
      <c r="H745" t="s">
        <v>5485</v>
      </c>
      <c r="I745">
        <v>1</v>
      </c>
      <c r="K745" t="s">
        <v>5481</v>
      </c>
      <c r="M745" t="str">
        <f>"23276886"</f>
        <v>23276886</v>
      </c>
      <c r="N745" s="2" t="str">
        <f>"20140901"</f>
        <v>20140901</v>
      </c>
      <c r="O745">
        <v>26</v>
      </c>
      <c r="P745">
        <v>9</v>
      </c>
      <c r="Q745">
        <v>488</v>
      </c>
      <c r="R745">
        <v>10</v>
      </c>
      <c r="S745" t="s">
        <v>5482</v>
      </c>
      <c r="T745" t="s">
        <v>5483</v>
      </c>
      <c r="U745" t="s">
        <v>730</v>
      </c>
      <c r="V745" t="s">
        <v>5484</v>
      </c>
      <c r="X745" t="s">
        <v>5486</v>
      </c>
      <c r="Y745" t="b">
        <f t="shared" si="11"/>
        <v>0</v>
      </c>
    </row>
    <row r="746" spans="1:25">
      <c r="A746" s="11" t="s">
        <v>9939</v>
      </c>
      <c r="B746" t="s">
        <v>16</v>
      </c>
      <c r="C746" s="2" t="s">
        <v>8334</v>
      </c>
      <c r="D746" t="s">
        <v>5488</v>
      </c>
      <c r="E746" t="s">
        <v>5487</v>
      </c>
      <c r="F746" s="20">
        <v>1</v>
      </c>
      <c r="H746" t="s">
        <v>5493</v>
      </c>
      <c r="I746">
        <v>1</v>
      </c>
      <c r="K746" t="s">
        <v>5489</v>
      </c>
      <c r="M746" t="str">
        <f>"01973533"</f>
        <v>01973533</v>
      </c>
      <c r="N746" s="2" t="str">
        <f>"20140501"</f>
        <v>20140501</v>
      </c>
      <c r="O746">
        <v>36</v>
      </c>
      <c r="P746">
        <v>3</v>
      </c>
      <c r="Q746">
        <v>209</v>
      </c>
      <c r="R746">
        <v>12</v>
      </c>
      <c r="S746" t="s">
        <v>5490</v>
      </c>
      <c r="T746" t="s">
        <v>5491</v>
      </c>
      <c r="U746" t="s">
        <v>87</v>
      </c>
      <c r="V746" t="s">
        <v>5492</v>
      </c>
      <c r="X746" t="s">
        <v>5494</v>
      </c>
      <c r="Y746" t="b">
        <f t="shared" si="11"/>
        <v>0</v>
      </c>
    </row>
    <row r="747" spans="1:25">
      <c r="A747" s="11" t="s">
        <v>9939</v>
      </c>
      <c r="B747" t="s">
        <v>16</v>
      </c>
      <c r="C747" s="2" t="s">
        <v>8341</v>
      </c>
      <c r="D747" t="s">
        <v>5496</v>
      </c>
      <c r="E747" t="s">
        <v>5495</v>
      </c>
      <c r="F747" s="20">
        <v>1</v>
      </c>
      <c r="H747" t="s">
        <v>5501</v>
      </c>
      <c r="I747">
        <v>1</v>
      </c>
      <c r="K747" t="s">
        <v>5497</v>
      </c>
      <c r="M747" t="str">
        <f>"13696866"</f>
        <v>13696866</v>
      </c>
      <c r="N747" s="2" t="str">
        <f>"20090101"</f>
        <v>20090101</v>
      </c>
      <c r="O747">
        <v>18</v>
      </c>
      <c r="P747">
        <v>1</v>
      </c>
      <c r="Q747">
        <v>76</v>
      </c>
      <c r="R747">
        <v>9</v>
      </c>
      <c r="S747" t="s">
        <v>5498</v>
      </c>
      <c r="T747" t="s">
        <v>5499</v>
      </c>
      <c r="U747" t="s">
        <v>730</v>
      </c>
      <c r="V747" t="s">
        <v>5500</v>
      </c>
      <c r="X747" t="s">
        <v>5502</v>
      </c>
      <c r="Y747" t="b">
        <f t="shared" si="11"/>
        <v>0</v>
      </c>
    </row>
    <row r="748" spans="1:25" hidden="1">
      <c r="A748" s="11" t="s">
        <v>9939</v>
      </c>
      <c r="B748" t="s">
        <v>16</v>
      </c>
      <c r="C748" s="2" t="s">
        <v>8347</v>
      </c>
      <c r="D748" t="s">
        <v>5504</v>
      </c>
      <c r="E748" t="s">
        <v>5503</v>
      </c>
      <c r="F748" s="20">
        <v>0</v>
      </c>
      <c r="G748" t="s">
        <v>9249</v>
      </c>
      <c r="H748" t="s">
        <v>5507</v>
      </c>
      <c r="K748" t="s">
        <v>314</v>
      </c>
      <c r="M748" t="str">
        <f>"19726325"</f>
        <v>19726325</v>
      </c>
      <c r="N748" s="2" t="str">
        <f>"20080101"</f>
        <v>20080101</v>
      </c>
      <c r="O748">
        <v>15</v>
      </c>
      <c r="P748">
        <v>2</v>
      </c>
      <c r="Q748">
        <v>91</v>
      </c>
      <c r="R748">
        <v>17</v>
      </c>
      <c r="S748" t="s">
        <v>5505</v>
      </c>
      <c r="U748" t="s">
        <v>316</v>
      </c>
      <c r="V748" t="s">
        <v>5506</v>
      </c>
      <c r="X748" t="s">
        <v>5508</v>
      </c>
      <c r="Y748" t="b">
        <f t="shared" si="11"/>
        <v>0</v>
      </c>
    </row>
    <row r="749" spans="1:25" hidden="1">
      <c r="A749" s="11" t="s">
        <v>9939</v>
      </c>
      <c r="B749" t="s">
        <v>16</v>
      </c>
      <c r="C749" s="2" t="s">
        <v>8336</v>
      </c>
      <c r="D749" t="s">
        <v>5510</v>
      </c>
      <c r="E749" t="s">
        <v>5509</v>
      </c>
      <c r="F749" s="20">
        <v>0</v>
      </c>
      <c r="G749" t="s">
        <v>9249</v>
      </c>
      <c r="H749" t="s">
        <v>5515</v>
      </c>
      <c r="K749" t="s">
        <v>4824</v>
      </c>
      <c r="M749" t="str">
        <f>"01446665"</f>
        <v>01446665</v>
      </c>
      <c r="N749" s="2" t="str">
        <f>"20070301"</f>
        <v>20070301</v>
      </c>
      <c r="O749">
        <v>46</v>
      </c>
      <c r="P749">
        <v>1</v>
      </c>
      <c r="Q749">
        <v>153</v>
      </c>
      <c r="R749">
        <v>17</v>
      </c>
      <c r="S749" t="s">
        <v>5511</v>
      </c>
      <c r="T749" t="s">
        <v>5512</v>
      </c>
      <c r="U749" t="s">
        <v>5513</v>
      </c>
      <c r="V749" t="s">
        <v>5514</v>
      </c>
      <c r="X749" t="s">
        <v>5516</v>
      </c>
      <c r="Y749" t="b">
        <f t="shared" si="11"/>
        <v>0</v>
      </c>
    </row>
    <row r="750" spans="1:25">
      <c r="A750" s="11" t="s">
        <v>9939</v>
      </c>
      <c r="B750" t="s">
        <v>16</v>
      </c>
      <c r="C750" s="2" t="s">
        <v>8353</v>
      </c>
      <c r="D750" t="s">
        <v>848</v>
      </c>
      <c r="E750" t="s">
        <v>5517</v>
      </c>
      <c r="F750" s="21">
        <v>1</v>
      </c>
      <c r="H750" t="s">
        <v>5522</v>
      </c>
      <c r="I750">
        <v>1</v>
      </c>
      <c r="K750" t="s">
        <v>5518</v>
      </c>
      <c r="M750" t="str">
        <f>"18333672"</f>
        <v>18333672</v>
      </c>
      <c r="N750" s="2" t="str">
        <f>"20160101"</f>
        <v>20160101</v>
      </c>
      <c r="O750">
        <v>22</v>
      </c>
      <c r="P750">
        <v>1</v>
      </c>
      <c r="Q750">
        <v>49</v>
      </c>
      <c r="R750">
        <v>19</v>
      </c>
      <c r="S750" t="s">
        <v>5519</v>
      </c>
      <c r="T750" t="s">
        <v>5520</v>
      </c>
      <c r="U750" t="s">
        <v>333</v>
      </c>
      <c r="V750" t="s">
        <v>5521</v>
      </c>
      <c r="X750" t="s">
        <v>5523</v>
      </c>
      <c r="Y750" t="b">
        <f t="shared" si="11"/>
        <v>0</v>
      </c>
    </row>
    <row r="751" spans="1:25" hidden="1">
      <c r="A751" s="11" t="s">
        <v>9939</v>
      </c>
      <c r="B751" t="s">
        <v>16</v>
      </c>
      <c r="C751" s="2" t="s">
        <v>8339</v>
      </c>
      <c r="D751" t="s">
        <v>5525</v>
      </c>
      <c r="E751" t="s">
        <v>5524</v>
      </c>
      <c r="H751" t="s">
        <v>5529</v>
      </c>
      <c r="K751" t="s">
        <v>1073</v>
      </c>
      <c r="M751" t="str">
        <f>"13634615"</f>
        <v>13634615</v>
      </c>
      <c r="N751" s="2" t="str">
        <f>"20151001"</f>
        <v>20151001</v>
      </c>
      <c r="O751">
        <v>52</v>
      </c>
      <c r="P751">
        <v>5</v>
      </c>
      <c r="Q751">
        <v>700</v>
      </c>
      <c r="R751">
        <v>15</v>
      </c>
      <c r="S751" t="s">
        <v>5526</v>
      </c>
      <c r="T751" t="s">
        <v>5527</v>
      </c>
      <c r="U751" t="s">
        <v>15</v>
      </c>
      <c r="V751" t="s">
        <v>5528</v>
      </c>
      <c r="X751" t="s">
        <v>5530</v>
      </c>
      <c r="Y751" t="b">
        <f t="shared" si="11"/>
        <v>1</v>
      </c>
    </row>
    <row r="752" spans="1:25">
      <c r="A752" s="11" t="s">
        <v>9939</v>
      </c>
      <c r="B752" t="s">
        <v>16</v>
      </c>
      <c r="C752" s="2" t="s">
        <v>8344</v>
      </c>
      <c r="D752" t="s">
        <v>5532</v>
      </c>
      <c r="E752" t="s">
        <v>5531</v>
      </c>
      <c r="F752" s="21">
        <v>1</v>
      </c>
      <c r="H752" t="s">
        <v>5537</v>
      </c>
      <c r="I752">
        <v>1</v>
      </c>
      <c r="K752" t="s">
        <v>5533</v>
      </c>
      <c r="M752" t="str">
        <f>"00472328"</f>
        <v>00472328</v>
      </c>
      <c r="N752" s="2" t="str">
        <f>"20100601"</f>
        <v>20100601</v>
      </c>
      <c r="O752">
        <v>41</v>
      </c>
      <c r="P752">
        <v>3</v>
      </c>
      <c r="Q752">
        <v>337</v>
      </c>
      <c r="R752">
        <v>118</v>
      </c>
      <c r="S752" t="s">
        <v>5534</v>
      </c>
      <c r="U752" t="s">
        <v>5535</v>
      </c>
      <c r="V752" t="s">
        <v>5536</v>
      </c>
      <c r="X752" t="s">
        <v>5538</v>
      </c>
      <c r="Y752" t="b">
        <f t="shared" si="11"/>
        <v>0</v>
      </c>
    </row>
    <row r="753" spans="1:25" hidden="1">
      <c r="A753" s="11" t="s">
        <v>9939</v>
      </c>
      <c r="B753" t="s">
        <v>16</v>
      </c>
      <c r="C753" s="2" t="s">
        <v>8341</v>
      </c>
      <c r="D753" t="s">
        <v>5540</v>
      </c>
      <c r="E753" t="s">
        <v>5539</v>
      </c>
      <c r="F753" s="20">
        <v>0</v>
      </c>
      <c r="G753" t="s">
        <v>9178</v>
      </c>
      <c r="H753" t="s">
        <v>5545</v>
      </c>
      <c r="K753" t="s">
        <v>5541</v>
      </c>
      <c r="M753" t="str">
        <f>"0162220X"</f>
        <v>0162220X</v>
      </c>
      <c r="N753" s="2" t="str">
        <f>"20090101"</f>
        <v>20090101</v>
      </c>
      <c r="O753">
        <v>32</v>
      </c>
      <c r="P753">
        <v>1</v>
      </c>
      <c r="Q753">
        <v>64</v>
      </c>
      <c r="R753">
        <v>9</v>
      </c>
      <c r="S753" t="s">
        <v>5542</v>
      </c>
      <c r="T753" t="s">
        <v>5543</v>
      </c>
      <c r="U753" t="s">
        <v>25</v>
      </c>
      <c r="V753" t="s">
        <v>5544</v>
      </c>
      <c r="X753" t="s">
        <v>5546</v>
      </c>
      <c r="Y753" t="b">
        <f t="shared" si="11"/>
        <v>0</v>
      </c>
    </row>
    <row r="754" spans="1:25" hidden="1">
      <c r="A754" s="11" t="s">
        <v>9939</v>
      </c>
      <c r="B754" t="s">
        <v>16</v>
      </c>
      <c r="C754" s="2" t="s">
        <v>8347</v>
      </c>
      <c r="D754" t="s">
        <v>5548</v>
      </c>
      <c r="E754" t="s">
        <v>5547</v>
      </c>
      <c r="F754" s="20">
        <v>0</v>
      </c>
      <c r="G754" t="s">
        <v>9178</v>
      </c>
      <c r="H754" t="s">
        <v>5552</v>
      </c>
      <c r="K754" t="s">
        <v>48</v>
      </c>
      <c r="M754" t="str">
        <f>"07399863"</f>
        <v>07399863</v>
      </c>
      <c r="N754" s="2" t="str">
        <f>"20080801"</f>
        <v>20080801</v>
      </c>
      <c r="O754">
        <v>30</v>
      </c>
      <c r="P754">
        <v>3</v>
      </c>
      <c r="Q754">
        <v>379</v>
      </c>
      <c r="R754">
        <v>18</v>
      </c>
      <c r="S754" t="s">
        <v>5549</v>
      </c>
      <c r="T754" t="s">
        <v>5550</v>
      </c>
      <c r="U754" t="s">
        <v>15</v>
      </c>
      <c r="V754" t="s">
        <v>5551</v>
      </c>
      <c r="X754" t="s">
        <v>5553</v>
      </c>
      <c r="Y754" t="b">
        <f t="shared" si="11"/>
        <v>0</v>
      </c>
    </row>
    <row r="755" spans="1:25">
      <c r="A755" s="11" t="s">
        <v>9939</v>
      </c>
      <c r="B755" t="s">
        <v>16</v>
      </c>
      <c r="C755" s="2" t="s">
        <v>8346</v>
      </c>
      <c r="D755" t="s">
        <v>5555</v>
      </c>
      <c r="E755" t="s">
        <v>5554</v>
      </c>
      <c r="F755" s="21">
        <v>1</v>
      </c>
      <c r="H755" t="s">
        <v>5559</v>
      </c>
      <c r="I755">
        <v>1</v>
      </c>
      <c r="K755" t="s">
        <v>1456</v>
      </c>
      <c r="M755" t="str">
        <f>"10888691"</f>
        <v>10888691</v>
      </c>
      <c r="N755" s="2" t="str">
        <f>"20110701"</f>
        <v>20110701</v>
      </c>
      <c r="O755">
        <v>15</v>
      </c>
      <c r="P755">
        <v>3</v>
      </c>
      <c r="Q755">
        <v>117</v>
      </c>
      <c r="R755">
        <v>12</v>
      </c>
      <c r="S755" t="s">
        <v>5556</v>
      </c>
      <c r="T755" t="s">
        <v>5557</v>
      </c>
      <c r="U755" t="s">
        <v>87</v>
      </c>
      <c r="V755" t="s">
        <v>5558</v>
      </c>
      <c r="X755" t="s">
        <v>5560</v>
      </c>
      <c r="Y755" t="b">
        <f t="shared" si="11"/>
        <v>0</v>
      </c>
    </row>
    <row r="756" spans="1:25" hidden="1">
      <c r="A756" s="11" t="s">
        <v>9939</v>
      </c>
      <c r="B756" t="s">
        <v>16</v>
      </c>
      <c r="C756" s="2" t="s">
        <v>8348</v>
      </c>
      <c r="D756" t="s">
        <v>5562</v>
      </c>
      <c r="E756" t="s">
        <v>5561</v>
      </c>
      <c r="F756" s="20">
        <v>0</v>
      </c>
      <c r="G756" t="s">
        <v>9178</v>
      </c>
      <c r="H756" t="s">
        <v>5566</v>
      </c>
      <c r="K756" t="s">
        <v>1751</v>
      </c>
      <c r="M756" t="str">
        <f>"10907165"</f>
        <v>10907165</v>
      </c>
      <c r="N756" s="2" t="str">
        <f>"20050601"</f>
        <v>20050601</v>
      </c>
      <c r="O756">
        <v>9</v>
      </c>
      <c r="P756">
        <v>2</v>
      </c>
      <c r="Q756">
        <v>201</v>
      </c>
      <c r="R756">
        <v>10</v>
      </c>
      <c r="S756" t="s">
        <v>5563</v>
      </c>
      <c r="T756" t="s">
        <v>5564</v>
      </c>
      <c r="U756" t="s">
        <v>42</v>
      </c>
      <c r="V756" t="s">
        <v>5565</v>
      </c>
      <c r="X756" t="s">
        <v>5567</v>
      </c>
      <c r="Y756" t="b">
        <f t="shared" si="11"/>
        <v>0</v>
      </c>
    </row>
    <row r="757" spans="1:25">
      <c r="A757" s="11" t="s">
        <v>9939</v>
      </c>
      <c r="B757" t="s">
        <v>16</v>
      </c>
      <c r="C757" s="2" t="s">
        <v>8358</v>
      </c>
      <c r="D757" t="s">
        <v>5569</v>
      </c>
      <c r="E757" t="s">
        <v>5568</v>
      </c>
      <c r="F757" s="21">
        <v>1</v>
      </c>
      <c r="H757" t="s">
        <v>5575</v>
      </c>
      <c r="I757">
        <v>0</v>
      </c>
      <c r="J757" t="s">
        <v>9245</v>
      </c>
      <c r="K757" t="s">
        <v>5570</v>
      </c>
      <c r="M757" t="str">
        <f>"1077341X"</f>
        <v>1077341X</v>
      </c>
      <c r="N757" s="2" t="str">
        <f>"19970101"</f>
        <v>19970101</v>
      </c>
      <c r="O757">
        <v>3</v>
      </c>
      <c r="P757">
        <v>1</v>
      </c>
      <c r="Q757">
        <v>53</v>
      </c>
      <c r="R757">
        <v>8</v>
      </c>
      <c r="S757" t="s">
        <v>5571</v>
      </c>
      <c r="T757" t="s">
        <v>5572</v>
      </c>
      <c r="U757" t="s">
        <v>5573</v>
      </c>
      <c r="V757" t="s">
        <v>5574</v>
      </c>
      <c r="X757" t="s">
        <v>5576</v>
      </c>
      <c r="Y757" t="b">
        <f t="shared" si="11"/>
        <v>0</v>
      </c>
    </row>
    <row r="758" spans="1:25">
      <c r="A758" s="11" t="s">
        <v>9939</v>
      </c>
      <c r="B758" t="s">
        <v>16</v>
      </c>
      <c r="C758" s="2" t="s">
        <v>8353</v>
      </c>
      <c r="D758" t="s">
        <v>4299</v>
      </c>
      <c r="E758" t="s">
        <v>5577</v>
      </c>
      <c r="F758" s="21">
        <v>1</v>
      </c>
      <c r="H758" t="s">
        <v>5581</v>
      </c>
      <c r="I758">
        <v>1</v>
      </c>
      <c r="K758" t="s">
        <v>322</v>
      </c>
      <c r="M758" t="str">
        <f>"03038300"</f>
        <v>03038300</v>
      </c>
      <c r="N758" s="2" t="str">
        <f>"20160301"</f>
        <v>20160301</v>
      </c>
      <c r="O758">
        <v>126</v>
      </c>
      <c r="P758">
        <v>1</v>
      </c>
      <c r="Q758">
        <v>425</v>
      </c>
      <c r="R758">
        <v>17</v>
      </c>
      <c r="S758" t="s">
        <v>5578</v>
      </c>
      <c r="T758" t="s">
        <v>5579</v>
      </c>
      <c r="U758" t="s">
        <v>42</v>
      </c>
      <c r="V758" t="s">
        <v>5580</v>
      </c>
      <c r="X758" t="s">
        <v>5582</v>
      </c>
      <c r="Y758" t="b">
        <f t="shared" si="11"/>
        <v>0</v>
      </c>
    </row>
    <row r="759" spans="1:25">
      <c r="A759" s="11" t="s">
        <v>9939</v>
      </c>
      <c r="B759" t="s">
        <v>16</v>
      </c>
      <c r="C759" s="2" t="s">
        <v>8343</v>
      </c>
      <c r="D759" t="s">
        <v>5584</v>
      </c>
      <c r="E759" t="s">
        <v>5583</v>
      </c>
      <c r="F759" s="21">
        <v>1</v>
      </c>
      <c r="H759" t="s">
        <v>5588</v>
      </c>
      <c r="I759">
        <v>1</v>
      </c>
      <c r="K759" t="s">
        <v>1073</v>
      </c>
      <c r="M759" t="str">
        <f>"13634615"</f>
        <v>13634615</v>
      </c>
      <c r="N759" s="2" t="str">
        <f>"20171201"</f>
        <v>20171201</v>
      </c>
      <c r="O759">
        <v>54</v>
      </c>
      <c r="P759" s="1">
        <v>44352</v>
      </c>
      <c r="Q759" s="1">
        <v>675</v>
      </c>
      <c r="R759">
        <v>21</v>
      </c>
      <c r="S759" t="s">
        <v>5585</v>
      </c>
      <c r="T759" t="s">
        <v>5586</v>
      </c>
      <c r="U759" t="s">
        <v>15</v>
      </c>
      <c r="V759" t="s">
        <v>5587</v>
      </c>
      <c r="X759" t="s">
        <v>5589</v>
      </c>
      <c r="Y759" t="b">
        <f t="shared" si="11"/>
        <v>0</v>
      </c>
    </row>
    <row r="760" spans="1:25" hidden="1">
      <c r="A760" s="11" t="s">
        <v>9939</v>
      </c>
      <c r="B760" t="s">
        <v>16</v>
      </c>
      <c r="C760" s="2" t="s">
        <v>8341</v>
      </c>
      <c r="D760" t="s">
        <v>5591</v>
      </c>
      <c r="E760" t="s">
        <v>5590</v>
      </c>
      <c r="H760" t="s">
        <v>5595</v>
      </c>
      <c r="K760" t="s">
        <v>370</v>
      </c>
      <c r="M760" t="str">
        <f>"00207594"</f>
        <v>00207594</v>
      </c>
      <c r="N760" s="2" t="str">
        <f>"20090801"</f>
        <v>20090801</v>
      </c>
      <c r="O760">
        <v>44</v>
      </c>
      <c r="P760">
        <v>4</v>
      </c>
      <c r="Q760">
        <v>266</v>
      </c>
      <c r="R760">
        <v>8</v>
      </c>
      <c r="S760" t="s">
        <v>5592</v>
      </c>
      <c r="T760" t="s">
        <v>5593</v>
      </c>
      <c r="U760" t="s">
        <v>87</v>
      </c>
      <c r="V760" t="s">
        <v>5594</v>
      </c>
      <c r="X760" t="s">
        <v>5596</v>
      </c>
      <c r="Y760" t="b">
        <f t="shared" si="11"/>
        <v>1</v>
      </c>
    </row>
    <row r="761" spans="1:25" hidden="1">
      <c r="A761" s="11" t="s">
        <v>9939</v>
      </c>
      <c r="B761" t="s">
        <v>16</v>
      </c>
      <c r="C761" s="2" t="s">
        <v>8347</v>
      </c>
      <c r="D761" t="s">
        <v>5598</v>
      </c>
      <c r="E761" t="s">
        <v>5597</v>
      </c>
      <c r="H761" t="s">
        <v>5602</v>
      </c>
      <c r="K761" t="s">
        <v>970</v>
      </c>
      <c r="M761" t="str">
        <f>"10999809"</f>
        <v>10999809</v>
      </c>
      <c r="N761" s="2" t="str">
        <f>"20080101"</f>
        <v>20080101</v>
      </c>
      <c r="O761">
        <v>14</v>
      </c>
      <c r="P761">
        <v>1</v>
      </c>
      <c r="Q761">
        <v>67</v>
      </c>
      <c r="R761">
        <v>8</v>
      </c>
      <c r="S761" t="s">
        <v>5599</v>
      </c>
      <c r="T761" t="s">
        <v>5600</v>
      </c>
      <c r="U761" t="s">
        <v>183</v>
      </c>
      <c r="V761" t="s">
        <v>5601</v>
      </c>
      <c r="X761" t="s">
        <v>5603</v>
      </c>
      <c r="Y761" t="b">
        <f t="shared" si="11"/>
        <v>1</v>
      </c>
    </row>
    <row r="762" spans="1:25">
      <c r="A762" s="11" t="s">
        <v>9939</v>
      </c>
      <c r="B762" t="s">
        <v>69</v>
      </c>
      <c r="C762" s="2" t="s">
        <v>8345</v>
      </c>
      <c r="D762" t="s">
        <v>5605</v>
      </c>
      <c r="E762" t="s">
        <v>5604</v>
      </c>
      <c r="F762" s="21">
        <v>1</v>
      </c>
      <c r="H762" t="s">
        <v>5608</v>
      </c>
      <c r="I762">
        <v>1</v>
      </c>
      <c r="K762" t="s">
        <v>101</v>
      </c>
      <c r="L762" t="str">
        <f>"9781392746684"</f>
        <v>9781392746684</v>
      </c>
      <c r="M762" t="str">
        <f>"04194217"</f>
        <v>04194217</v>
      </c>
      <c r="N762" s="2" t="str">
        <f>"20200101"</f>
        <v>20200101</v>
      </c>
      <c r="O762">
        <v>81</v>
      </c>
      <c r="P762" t="s">
        <v>2962</v>
      </c>
      <c r="S762" t="s">
        <v>5606</v>
      </c>
      <c r="U762" t="s">
        <v>68</v>
      </c>
      <c r="V762" t="s">
        <v>5607</v>
      </c>
      <c r="X762" t="s">
        <v>5609</v>
      </c>
      <c r="Y762" t="b">
        <f t="shared" si="11"/>
        <v>0</v>
      </c>
    </row>
    <row r="763" spans="1:25">
      <c r="A763" s="11" t="s">
        <v>9939</v>
      </c>
      <c r="B763" t="s">
        <v>69</v>
      </c>
      <c r="C763" s="2" t="s">
        <v>8346</v>
      </c>
      <c r="D763" t="s">
        <v>5611</v>
      </c>
      <c r="E763" t="s">
        <v>5610</v>
      </c>
      <c r="F763" s="21">
        <v>1</v>
      </c>
      <c r="H763" t="s">
        <v>5614</v>
      </c>
      <c r="I763">
        <v>1</v>
      </c>
      <c r="K763" t="s">
        <v>101</v>
      </c>
      <c r="L763" t="str">
        <f>"9781124535319"</f>
        <v>9781124535319</v>
      </c>
      <c r="M763" t="str">
        <f>"04194217"</f>
        <v>04194217</v>
      </c>
      <c r="N763" s="2" t="str">
        <f>"20110101"</f>
        <v>20110101</v>
      </c>
      <c r="O763">
        <v>72</v>
      </c>
      <c r="P763" t="s">
        <v>2962</v>
      </c>
      <c r="Q763">
        <v>3077</v>
      </c>
      <c r="R763">
        <v>1</v>
      </c>
      <c r="S763" t="s">
        <v>5612</v>
      </c>
      <c r="U763" t="s">
        <v>68</v>
      </c>
      <c r="V763" t="s">
        <v>5613</v>
      </c>
      <c r="X763" t="s">
        <v>5615</v>
      </c>
      <c r="Y763" t="b">
        <f t="shared" si="11"/>
        <v>0</v>
      </c>
    </row>
    <row r="764" spans="1:25">
      <c r="A764" s="11" t="s">
        <v>9939</v>
      </c>
      <c r="B764" t="s">
        <v>16</v>
      </c>
      <c r="C764" s="2" t="s">
        <v>8344</v>
      </c>
      <c r="D764" t="s">
        <v>5617</v>
      </c>
      <c r="E764" t="s">
        <v>5616</v>
      </c>
      <c r="F764" s="21">
        <v>1</v>
      </c>
      <c r="H764" t="s">
        <v>5621</v>
      </c>
      <c r="I764">
        <v>0</v>
      </c>
      <c r="J764" t="s">
        <v>9249</v>
      </c>
      <c r="K764" t="s">
        <v>1399</v>
      </c>
      <c r="M764" t="str">
        <f>"00224537"</f>
        <v>00224537</v>
      </c>
      <c r="N764" s="2" t="str">
        <f>"20101201"</f>
        <v>20101201</v>
      </c>
      <c r="O764">
        <v>66</v>
      </c>
      <c r="P764">
        <v>4</v>
      </c>
      <c r="Q764">
        <v>803</v>
      </c>
      <c r="R764">
        <v>22</v>
      </c>
      <c r="S764" t="s">
        <v>5618</v>
      </c>
      <c r="T764" t="s">
        <v>5619</v>
      </c>
      <c r="U764" t="s">
        <v>730</v>
      </c>
      <c r="V764" t="s">
        <v>5620</v>
      </c>
      <c r="X764" t="s">
        <v>5622</v>
      </c>
      <c r="Y764" t="b">
        <f t="shared" si="11"/>
        <v>0</v>
      </c>
    </row>
    <row r="765" spans="1:25" hidden="1">
      <c r="A765" s="11" t="s">
        <v>9939</v>
      </c>
      <c r="B765" t="s">
        <v>16</v>
      </c>
      <c r="C765" s="2" t="s">
        <v>8344</v>
      </c>
      <c r="D765" t="s">
        <v>5624</v>
      </c>
      <c r="E765" t="s">
        <v>5623</v>
      </c>
      <c r="H765" t="s">
        <v>5628</v>
      </c>
      <c r="K765" t="s">
        <v>132</v>
      </c>
      <c r="M765" t="str">
        <f>"01471767"</f>
        <v>01471767</v>
      </c>
      <c r="N765" s="2" t="str">
        <f>"20100701"</f>
        <v>20100701</v>
      </c>
      <c r="O765">
        <v>34</v>
      </c>
      <c r="P765">
        <v>4</v>
      </c>
      <c r="Q765">
        <v>326</v>
      </c>
      <c r="R765">
        <v>14</v>
      </c>
      <c r="S765" t="s">
        <v>5625</v>
      </c>
      <c r="T765" t="s">
        <v>5626</v>
      </c>
      <c r="U765" t="s">
        <v>34</v>
      </c>
      <c r="V765" t="s">
        <v>5627</v>
      </c>
      <c r="X765" t="s">
        <v>5629</v>
      </c>
      <c r="Y765" t="b">
        <f t="shared" si="11"/>
        <v>1</v>
      </c>
    </row>
    <row r="766" spans="1:25" hidden="1">
      <c r="A766" s="11" t="s">
        <v>9939</v>
      </c>
      <c r="B766" t="s">
        <v>16</v>
      </c>
      <c r="C766" s="2" t="s">
        <v>8343</v>
      </c>
      <c r="D766" t="s">
        <v>5631</v>
      </c>
      <c r="E766" t="s">
        <v>5630</v>
      </c>
      <c r="H766" t="s">
        <v>5636</v>
      </c>
      <c r="K766" t="s">
        <v>5632</v>
      </c>
      <c r="M766" t="str">
        <f>"22150366"</f>
        <v>22150366</v>
      </c>
      <c r="N766" s="2" t="str">
        <f>"20170301"</f>
        <v>20170301</v>
      </c>
      <c r="O766">
        <v>4</v>
      </c>
      <c r="P766">
        <v>3</v>
      </c>
      <c r="Q766">
        <v>218</v>
      </c>
      <c r="R766">
        <v>12</v>
      </c>
      <c r="S766" t="s">
        <v>5633</v>
      </c>
      <c r="T766" t="s">
        <v>5634</v>
      </c>
      <c r="U766" t="s">
        <v>34</v>
      </c>
      <c r="V766" t="s">
        <v>5635</v>
      </c>
      <c r="X766" t="s">
        <v>5637</v>
      </c>
      <c r="Y766" t="b">
        <f t="shared" si="11"/>
        <v>1</v>
      </c>
    </row>
    <row r="767" spans="1:25" hidden="1">
      <c r="A767" s="11" t="s">
        <v>9939</v>
      </c>
      <c r="B767" t="s">
        <v>16</v>
      </c>
      <c r="C767" s="2" t="s">
        <v>8349</v>
      </c>
      <c r="D767" t="s">
        <v>5639</v>
      </c>
      <c r="E767" t="s">
        <v>5638</v>
      </c>
      <c r="F767" s="20">
        <v>0</v>
      </c>
      <c r="G767" t="s">
        <v>9178</v>
      </c>
      <c r="H767" t="s">
        <v>5644</v>
      </c>
      <c r="K767" t="s">
        <v>5640</v>
      </c>
      <c r="M767" t="str">
        <f>"03064603"</f>
        <v>03064603</v>
      </c>
      <c r="N767" s="2" t="str">
        <f>"20191101"</f>
        <v>20191101</v>
      </c>
      <c r="O767">
        <v>98</v>
      </c>
      <c r="S767" t="s">
        <v>5641</v>
      </c>
      <c r="T767" t="s">
        <v>5642</v>
      </c>
      <c r="U767" t="s">
        <v>34</v>
      </c>
      <c r="V767" t="s">
        <v>5643</v>
      </c>
      <c r="X767" t="s">
        <v>5645</v>
      </c>
      <c r="Y767" t="b">
        <f t="shared" si="11"/>
        <v>0</v>
      </c>
    </row>
    <row r="768" spans="1:25" hidden="1">
      <c r="A768" s="11" t="s">
        <v>9939</v>
      </c>
      <c r="B768" t="s">
        <v>16</v>
      </c>
      <c r="C768" s="2" t="s">
        <v>8340</v>
      </c>
      <c r="D768" t="s">
        <v>5647</v>
      </c>
      <c r="E768" t="s">
        <v>5646</v>
      </c>
      <c r="H768" t="s">
        <v>5651</v>
      </c>
      <c r="K768" t="s">
        <v>93</v>
      </c>
      <c r="M768" t="str">
        <f>"00207640"</f>
        <v>00207640</v>
      </c>
      <c r="N768" s="2" t="str">
        <f>"20180201"</f>
        <v>20180201</v>
      </c>
      <c r="O768">
        <v>64</v>
      </c>
      <c r="P768">
        <v>1</v>
      </c>
      <c r="Q768">
        <v>17</v>
      </c>
      <c r="R768">
        <v>9</v>
      </c>
      <c r="S768" t="s">
        <v>5648</v>
      </c>
      <c r="T768" t="s">
        <v>5649</v>
      </c>
      <c r="U768" t="s">
        <v>15</v>
      </c>
      <c r="V768" t="s">
        <v>5650</v>
      </c>
      <c r="X768" t="s">
        <v>5652</v>
      </c>
      <c r="Y768" t="b">
        <f t="shared" si="11"/>
        <v>1</v>
      </c>
    </row>
    <row r="769" spans="1:25">
      <c r="A769" s="11" t="s">
        <v>9939</v>
      </c>
      <c r="B769" t="s">
        <v>16</v>
      </c>
      <c r="C769" s="2" t="s">
        <v>8335</v>
      </c>
      <c r="D769" t="s">
        <v>5654</v>
      </c>
      <c r="E769" t="s">
        <v>5653</v>
      </c>
      <c r="F769" s="21">
        <v>1</v>
      </c>
      <c r="H769" t="s">
        <v>5658</v>
      </c>
      <c r="I769">
        <v>1</v>
      </c>
      <c r="K769" t="s">
        <v>3301</v>
      </c>
      <c r="M769" t="str">
        <f>"01650327"</f>
        <v>01650327</v>
      </c>
      <c r="N769" s="2" t="str">
        <f>"20041101"</f>
        <v>20041101</v>
      </c>
      <c r="O769">
        <v>83</v>
      </c>
      <c r="P769">
        <v>1</v>
      </c>
      <c r="Q769">
        <v>33</v>
      </c>
      <c r="R769">
        <v>9</v>
      </c>
      <c r="S769" t="s">
        <v>5655</v>
      </c>
      <c r="T769" t="s">
        <v>5656</v>
      </c>
      <c r="U769" t="s">
        <v>34</v>
      </c>
      <c r="V769" t="s">
        <v>5657</v>
      </c>
      <c r="X769" t="s">
        <v>5659</v>
      </c>
      <c r="Y769" t="b">
        <f t="shared" si="11"/>
        <v>0</v>
      </c>
    </row>
    <row r="770" spans="1:25" hidden="1">
      <c r="A770" s="11" t="s">
        <v>9939</v>
      </c>
      <c r="B770" t="s">
        <v>16</v>
      </c>
      <c r="C770" s="2" t="s">
        <v>8342</v>
      </c>
      <c r="D770" t="s">
        <v>5661</v>
      </c>
      <c r="E770" t="s">
        <v>5660</v>
      </c>
      <c r="F770" s="20">
        <v>0</v>
      </c>
      <c r="G770" t="s">
        <v>9178</v>
      </c>
      <c r="H770" t="s">
        <v>5666</v>
      </c>
      <c r="K770" t="s">
        <v>5662</v>
      </c>
      <c r="M770" t="str">
        <f>"0890765X"</f>
        <v>0890765X</v>
      </c>
      <c r="N770" s="2" t="str">
        <f>"20121201"</f>
        <v>20121201</v>
      </c>
      <c r="O770">
        <v>28</v>
      </c>
      <c r="P770">
        <v>1</v>
      </c>
      <c r="Q770">
        <v>73</v>
      </c>
      <c r="R770">
        <v>11</v>
      </c>
      <c r="S770" t="s">
        <v>5663</v>
      </c>
      <c r="T770" t="s">
        <v>5664</v>
      </c>
      <c r="U770" t="s">
        <v>730</v>
      </c>
      <c r="V770" t="s">
        <v>5665</v>
      </c>
      <c r="X770" t="s">
        <v>5667</v>
      </c>
      <c r="Y770" t="b">
        <f t="shared" ref="Y770:Y833" si="12">COUNTIF(X:X, X770)&gt;1</f>
        <v>0</v>
      </c>
    </row>
    <row r="771" spans="1:25">
      <c r="A771" s="11" t="s">
        <v>9939</v>
      </c>
      <c r="B771" t="s">
        <v>16</v>
      </c>
      <c r="C771" s="2" t="s">
        <v>8342</v>
      </c>
      <c r="D771" t="s">
        <v>5669</v>
      </c>
      <c r="E771" t="s">
        <v>5668</v>
      </c>
      <c r="F771" s="21">
        <v>1</v>
      </c>
      <c r="H771" t="s">
        <v>5674</v>
      </c>
      <c r="I771">
        <v>1</v>
      </c>
      <c r="K771" t="s">
        <v>5670</v>
      </c>
      <c r="M771" t="str">
        <f>"01638343"</f>
        <v>01638343</v>
      </c>
      <c r="N771" s="2" t="str">
        <f>"20120701"</f>
        <v>20120701</v>
      </c>
      <c r="O771">
        <v>34</v>
      </c>
      <c r="P771">
        <v>4</v>
      </c>
      <c r="Q771">
        <v>323</v>
      </c>
      <c r="R771">
        <v>9</v>
      </c>
      <c r="S771" t="s">
        <v>5671</v>
      </c>
      <c r="T771" t="s">
        <v>5672</v>
      </c>
      <c r="U771" t="s">
        <v>34</v>
      </c>
      <c r="V771" t="s">
        <v>5673</v>
      </c>
      <c r="X771" t="s">
        <v>5675</v>
      </c>
      <c r="Y771" t="b">
        <f t="shared" si="12"/>
        <v>0</v>
      </c>
    </row>
    <row r="772" spans="1:25">
      <c r="A772" s="11" t="s">
        <v>9939</v>
      </c>
      <c r="B772" t="s">
        <v>16</v>
      </c>
      <c r="C772" s="2" t="s">
        <v>8340</v>
      </c>
      <c r="D772" t="s">
        <v>5677</v>
      </c>
      <c r="E772" t="s">
        <v>5676</v>
      </c>
      <c r="F772" s="21">
        <v>1</v>
      </c>
      <c r="H772" t="s">
        <v>5681</v>
      </c>
      <c r="I772">
        <v>1</v>
      </c>
      <c r="K772" t="s">
        <v>3301</v>
      </c>
      <c r="M772" t="str">
        <f>"01650327"</f>
        <v>01650327</v>
      </c>
      <c r="N772" s="2" t="str">
        <f>"20181201"</f>
        <v>20181201</v>
      </c>
      <c r="O772">
        <v>241</v>
      </c>
      <c r="Q772">
        <v>49</v>
      </c>
      <c r="R772">
        <v>10</v>
      </c>
      <c r="S772" t="s">
        <v>5678</v>
      </c>
      <c r="T772" t="s">
        <v>5679</v>
      </c>
      <c r="U772" t="s">
        <v>34</v>
      </c>
      <c r="V772" t="s">
        <v>5680</v>
      </c>
      <c r="X772" t="s">
        <v>5682</v>
      </c>
      <c r="Y772" t="b">
        <f t="shared" si="12"/>
        <v>0</v>
      </c>
    </row>
    <row r="773" spans="1:25" hidden="1">
      <c r="A773" s="11" t="s">
        <v>9939</v>
      </c>
      <c r="B773" t="s">
        <v>16</v>
      </c>
      <c r="C773" s="2" t="s">
        <v>8344</v>
      </c>
      <c r="D773" t="s">
        <v>5684</v>
      </c>
      <c r="E773" t="s">
        <v>5683</v>
      </c>
      <c r="F773" s="20">
        <v>0</v>
      </c>
      <c r="G773" t="s">
        <v>9178</v>
      </c>
      <c r="H773" t="s">
        <v>5689</v>
      </c>
      <c r="K773" t="s">
        <v>5685</v>
      </c>
      <c r="M773" t="str">
        <f>"10848223"</f>
        <v>10848223</v>
      </c>
      <c r="N773" s="2" t="str">
        <f>"20101201"</f>
        <v>20101201</v>
      </c>
      <c r="O773">
        <v>22</v>
      </c>
      <c r="P773">
        <v>7</v>
      </c>
      <c r="Q773">
        <v>485</v>
      </c>
      <c r="R773">
        <v>7</v>
      </c>
      <c r="S773" t="s">
        <v>5686</v>
      </c>
      <c r="T773" t="s">
        <v>5687</v>
      </c>
      <c r="U773" t="s">
        <v>15</v>
      </c>
      <c r="V773" t="s">
        <v>5688</v>
      </c>
      <c r="X773" t="s">
        <v>5690</v>
      </c>
      <c r="Y773" t="b">
        <f t="shared" si="12"/>
        <v>0</v>
      </c>
    </row>
    <row r="774" spans="1:25">
      <c r="A774" s="11" t="s">
        <v>9939</v>
      </c>
      <c r="B774" t="s">
        <v>16</v>
      </c>
      <c r="C774" s="2" t="s">
        <v>8342</v>
      </c>
      <c r="D774" t="s">
        <v>5692</v>
      </c>
      <c r="E774" t="s">
        <v>5691</v>
      </c>
      <c r="F774" s="21">
        <v>1</v>
      </c>
      <c r="H774" t="s">
        <v>5697</v>
      </c>
      <c r="I774">
        <v>1</v>
      </c>
      <c r="K774" t="s">
        <v>5693</v>
      </c>
      <c r="M774" t="str">
        <f>"08901171"</f>
        <v>08901171</v>
      </c>
      <c r="N774" s="2" t="str">
        <f>"20120301"</f>
        <v>20120301</v>
      </c>
      <c r="O774">
        <v>26</v>
      </c>
      <c r="P774">
        <v>4</v>
      </c>
      <c r="Q774">
        <v>225</v>
      </c>
      <c r="R774">
        <v>5</v>
      </c>
      <c r="S774" t="s">
        <v>5694</v>
      </c>
      <c r="T774" t="s">
        <v>5695</v>
      </c>
      <c r="U774" t="s">
        <v>5693</v>
      </c>
      <c r="V774" t="s">
        <v>5696</v>
      </c>
      <c r="X774" t="s">
        <v>5698</v>
      </c>
      <c r="Y774" t="b">
        <f t="shared" si="12"/>
        <v>0</v>
      </c>
    </row>
    <row r="775" spans="1:25">
      <c r="A775" s="11" t="s">
        <v>9939</v>
      </c>
      <c r="B775" t="s">
        <v>16</v>
      </c>
      <c r="C775" s="2" t="s">
        <v>8342</v>
      </c>
      <c r="D775" t="s">
        <v>5700</v>
      </c>
      <c r="E775" t="s">
        <v>5699</v>
      </c>
      <c r="F775" s="21">
        <v>1</v>
      </c>
      <c r="H775" t="s">
        <v>5706</v>
      </c>
      <c r="I775">
        <v>0</v>
      </c>
      <c r="J775" t="s">
        <v>9178</v>
      </c>
      <c r="K775" t="s">
        <v>4474</v>
      </c>
      <c r="M775" t="str">
        <f>"10550496"</f>
        <v>10550496</v>
      </c>
      <c r="N775" s="2" t="str">
        <f>"20121101"</f>
        <v>20121101</v>
      </c>
      <c r="O775">
        <v>21</v>
      </c>
      <c r="P775" t="s">
        <v>5701</v>
      </c>
      <c r="Q775" t="s">
        <v>5702</v>
      </c>
      <c r="R775">
        <v>11</v>
      </c>
      <c r="S775" t="s">
        <v>5703</v>
      </c>
      <c r="T775" t="s">
        <v>5704</v>
      </c>
      <c r="U775" t="s">
        <v>730</v>
      </c>
      <c r="V775" t="s">
        <v>5705</v>
      </c>
      <c r="X775" t="s">
        <v>5707</v>
      </c>
      <c r="Y775" t="b">
        <f t="shared" si="12"/>
        <v>0</v>
      </c>
    </row>
    <row r="776" spans="1:25" hidden="1">
      <c r="A776" s="11" t="s">
        <v>9939</v>
      </c>
      <c r="B776" t="s">
        <v>16</v>
      </c>
      <c r="C776" s="2" t="s">
        <v>8334</v>
      </c>
      <c r="D776" t="s">
        <v>5709</v>
      </c>
      <c r="E776" t="s">
        <v>5708</v>
      </c>
      <c r="H776" t="s">
        <v>5714</v>
      </c>
      <c r="K776" t="s">
        <v>5710</v>
      </c>
      <c r="M776" t="str">
        <f>"01427237"</f>
        <v>01427237</v>
      </c>
      <c r="N776" s="2" t="str">
        <f>"20141201"</f>
        <v>20141201</v>
      </c>
      <c r="O776">
        <v>34</v>
      </c>
      <c r="P776">
        <v>6</v>
      </c>
      <c r="Q776">
        <v>467</v>
      </c>
      <c r="R776">
        <v>19</v>
      </c>
      <c r="S776" t="s">
        <v>5711</v>
      </c>
      <c r="T776" t="s">
        <v>5712</v>
      </c>
      <c r="U776" t="s">
        <v>15</v>
      </c>
      <c r="V776" t="s">
        <v>5713</v>
      </c>
      <c r="X776" t="s">
        <v>5715</v>
      </c>
      <c r="Y776" t="b">
        <f t="shared" si="12"/>
        <v>1</v>
      </c>
    </row>
    <row r="777" spans="1:25" hidden="1">
      <c r="A777" s="11" t="s">
        <v>9939</v>
      </c>
      <c r="B777" t="s">
        <v>16</v>
      </c>
      <c r="C777" s="2" t="s">
        <v>8342</v>
      </c>
      <c r="D777" t="s">
        <v>5717</v>
      </c>
      <c r="E777" t="s">
        <v>5716</v>
      </c>
      <c r="H777" t="s">
        <v>5721</v>
      </c>
      <c r="K777" t="s">
        <v>3053</v>
      </c>
      <c r="M777" t="str">
        <f>"00220167"</f>
        <v>00220167</v>
      </c>
      <c r="N777" s="2" t="str">
        <f>"20120701"</f>
        <v>20120701</v>
      </c>
      <c r="O777">
        <v>59</v>
      </c>
      <c r="P777">
        <v>3</v>
      </c>
      <c r="Q777">
        <v>424</v>
      </c>
      <c r="R777">
        <v>13</v>
      </c>
      <c r="S777" t="s">
        <v>5718</v>
      </c>
      <c r="T777" t="s">
        <v>5719</v>
      </c>
      <c r="U777" t="s">
        <v>59</v>
      </c>
      <c r="V777" t="s">
        <v>5720</v>
      </c>
      <c r="X777" t="s">
        <v>5722</v>
      </c>
      <c r="Y777" t="b">
        <f t="shared" si="12"/>
        <v>1</v>
      </c>
    </row>
    <row r="778" spans="1:25">
      <c r="A778" s="11" t="s">
        <v>9939</v>
      </c>
      <c r="B778" t="s">
        <v>16</v>
      </c>
      <c r="C778" s="2" t="s">
        <v>8342</v>
      </c>
      <c r="D778" t="s">
        <v>5724</v>
      </c>
      <c r="E778" t="s">
        <v>5723</v>
      </c>
      <c r="F778" s="21">
        <v>1</v>
      </c>
      <c r="H778" t="s">
        <v>5728</v>
      </c>
      <c r="I778">
        <v>1</v>
      </c>
      <c r="K778" t="s">
        <v>140</v>
      </c>
      <c r="M778" t="str">
        <f>"02779536"</f>
        <v>02779536</v>
      </c>
      <c r="N778" s="2" t="str">
        <f>"20120401"</f>
        <v>20120401</v>
      </c>
      <c r="O778">
        <v>74</v>
      </c>
      <c r="P778">
        <v>7</v>
      </c>
      <c r="Q778">
        <v>1130</v>
      </c>
      <c r="R778">
        <v>9</v>
      </c>
      <c r="S778" t="s">
        <v>5725</v>
      </c>
      <c r="T778" t="s">
        <v>5726</v>
      </c>
      <c r="U778" t="s">
        <v>34</v>
      </c>
      <c r="V778" t="s">
        <v>5727</v>
      </c>
      <c r="X778" t="s">
        <v>5729</v>
      </c>
      <c r="Y778" t="b">
        <f t="shared" si="12"/>
        <v>0</v>
      </c>
    </row>
    <row r="779" spans="1:25">
      <c r="A779" s="11" t="s">
        <v>9939</v>
      </c>
      <c r="B779" t="s">
        <v>69</v>
      </c>
      <c r="C779" s="2" t="s">
        <v>8344</v>
      </c>
      <c r="D779" t="s">
        <v>5730</v>
      </c>
      <c r="E779" t="s">
        <v>5723</v>
      </c>
      <c r="F779" s="21">
        <v>1</v>
      </c>
      <c r="H779" t="s">
        <v>5733</v>
      </c>
      <c r="I779">
        <v>1</v>
      </c>
      <c r="K779" t="s">
        <v>65</v>
      </c>
      <c r="L779" t="str">
        <f>"9781124029849"</f>
        <v>9781124029849</v>
      </c>
      <c r="M779" t="str">
        <f>"04194209"</f>
        <v>04194209</v>
      </c>
      <c r="N779" s="2" t="str">
        <f>"20100101"</f>
        <v>20100101</v>
      </c>
      <c r="O779">
        <v>71</v>
      </c>
      <c r="P779" t="s">
        <v>3324</v>
      </c>
      <c r="Q779">
        <v>2239</v>
      </c>
      <c r="R779">
        <v>1</v>
      </c>
      <c r="S779" t="s">
        <v>5731</v>
      </c>
      <c r="U779" t="s">
        <v>68</v>
      </c>
      <c r="V779" t="s">
        <v>5732</v>
      </c>
      <c r="X779" t="s">
        <v>5734</v>
      </c>
      <c r="Y779" t="b">
        <f t="shared" si="12"/>
        <v>0</v>
      </c>
    </row>
    <row r="780" spans="1:25">
      <c r="A780" s="11" t="s">
        <v>9939</v>
      </c>
      <c r="B780" t="s">
        <v>16</v>
      </c>
      <c r="C780" s="2" t="s">
        <v>8334</v>
      </c>
      <c r="D780" t="s">
        <v>5736</v>
      </c>
      <c r="E780" t="s">
        <v>5735</v>
      </c>
      <c r="F780" s="21">
        <v>1</v>
      </c>
      <c r="H780" t="s">
        <v>5740</v>
      </c>
      <c r="I780">
        <v>0</v>
      </c>
      <c r="J780" t="s">
        <v>9178</v>
      </c>
      <c r="K780" t="s">
        <v>40</v>
      </c>
      <c r="M780" t="str">
        <f>"15571912"</f>
        <v>15571912</v>
      </c>
      <c r="N780" s="2" t="str">
        <f>"20141001"</f>
        <v>20141001</v>
      </c>
      <c r="O780">
        <v>16</v>
      </c>
      <c r="P780">
        <v>5</v>
      </c>
      <c r="Q780">
        <v>914</v>
      </c>
      <c r="R780">
        <v>8</v>
      </c>
      <c r="S780" t="s">
        <v>5737</v>
      </c>
      <c r="T780" t="s">
        <v>5738</v>
      </c>
      <c r="U780" t="s">
        <v>42</v>
      </c>
      <c r="V780" t="s">
        <v>5739</v>
      </c>
      <c r="X780" t="s">
        <v>5741</v>
      </c>
      <c r="Y780" t="b">
        <f t="shared" si="12"/>
        <v>0</v>
      </c>
    </row>
    <row r="781" spans="1:25" hidden="1">
      <c r="A781" s="11" t="s">
        <v>9939</v>
      </c>
      <c r="B781" t="s">
        <v>16</v>
      </c>
      <c r="C781" s="2" t="s">
        <v>8339</v>
      </c>
      <c r="D781" t="s">
        <v>5743</v>
      </c>
      <c r="E781" t="s">
        <v>5742</v>
      </c>
      <c r="H781" t="s">
        <v>5748</v>
      </c>
      <c r="K781" t="s">
        <v>5744</v>
      </c>
      <c r="M781" t="str">
        <f>"1935942X"</f>
        <v>1935942X</v>
      </c>
      <c r="N781" s="2" t="str">
        <f>"20150701"</f>
        <v>20150701</v>
      </c>
      <c r="O781">
        <v>39</v>
      </c>
      <c r="P781" s="1">
        <v>44289</v>
      </c>
      <c r="Q781" s="1">
        <v>162</v>
      </c>
      <c r="R781">
        <v>16</v>
      </c>
      <c r="S781" t="s">
        <v>5745</v>
      </c>
      <c r="T781" t="s">
        <v>5746</v>
      </c>
      <c r="U781" t="s">
        <v>183</v>
      </c>
      <c r="V781" t="s">
        <v>5747</v>
      </c>
      <c r="X781" t="s">
        <v>5749</v>
      </c>
      <c r="Y781" t="b">
        <f t="shared" si="12"/>
        <v>1</v>
      </c>
    </row>
    <row r="782" spans="1:25">
      <c r="A782" s="11" t="s">
        <v>9939</v>
      </c>
      <c r="B782" t="s">
        <v>16</v>
      </c>
      <c r="C782" s="2" t="s">
        <v>8342</v>
      </c>
      <c r="D782" t="s">
        <v>5751</v>
      </c>
      <c r="E782" t="s">
        <v>5750</v>
      </c>
      <c r="F782" s="21">
        <v>1</v>
      </c>
      <c r="H782" t="s">
        <v>5755</v>
      </c>
      <c r="I782">
        <v>0</v>
      </c>
      <c r="J782" t="s">
        <v>9245</v>
      </c>
      <c r="K782" t="s">
        <v>252</v>
      </c>
      <c r="M782" t="str">
        <f>"00220221"</f>
        <v>00220221</v>
      </c>
      <c r="N782" s="2" t="str">
        <f>"20120101"</f>
        <v>20120101</v>
      </c>
      <c r="O782">
        <v>43</v>
      </c>
      <c r="P782">
        <v>1</v>
      </c>
      <c r="Q782">
        <v>59</v>
      </c>
      <c r="R782">
        <v>18</v>
      </c>
      <c r="S782" t="s">
        <v>5752</v>
      </c>
      <c r="T782" t="s">
        <v>5753</v>
      </c>
      <c r="U782" t="s">
        <v>15</v>
      </c>
      <c r="V782" t="s">
        <v>5754</v>
      </c>
      <c r="X782" t="s">
        <v>5756</v>
      </c>
      <c r="Y782" t="b">
        <f t="shared" si="12"/>
        <v>0</v>
      </c>
    </row>
    <row r="783" spans="1:25">
      <c r="A783" s="11" t="s">
        <v>9939</v>
      </c>
      <c r="B783" t="s">
        <v>16</v>
      </c>
      <c r="C783" s="2" t="s">
        <v>8342</v>
      </c>
      <c r="D783" t="s">
        <v>5758</v>
      </c>
      <c r="E783" t="s">
        <v>5757</v>
      </c>
      <c r="F783" s="21">
        <v>1</v>
      </c>
      <c r="H783" t="s">
        <v>5762</v>
      </c>
      <c r="I783">
        <v>1</v>
      </c>
      <c r="K783" t="s">
        <v>370</v>
      </c>
      <c r="M783" t="str">
        <f>"00207594"</f>
        <v>00207594</v>
      </c>
      <c r="N783" s="2" t="str">
        <f>"20120201"</f>
        <v>20120201</v>
      </c>
      <c r="O783">
        <v>47</v>
      </c>
      <c r="P783">
        <v>1</v>
      </c>
      <c r="Q783">
        <v>28</v>
      </c>
      <c r="R783">
        <v>11</v>
      </c>
      <c r="S783" t="s">
        <v>5759</v>
      </c>
      <c r="T783" t="s">
        <v>5760</v>
      </c>
      <c r="U783" t="s">
        <v>87</v>
      </c>
      <c r="V783" t="s">
        <v>5761</v>
      </c>
      <c r="X783" t="s">
        <v>5763</v>
      </c>
      <c r="Y783" t="b">
        <f t="shared" si="12"/>
        <v>0</v>
      </c>
    </row>
    <row r="784" spans="1:25">
      <c r="A784" s="11" t="s">
        <v>9939</v>
      </c>
      <c r="B784" t="s">
        <v>395</v>
      </c>
      <c r="C784" s="2" t="s">
        <v>8338</v>
      </c>
      <c r="D784" t="s">
        <v>5765</v>
      </c>
      <c r="E784" t="s">
        <v>5764</v>
      </c>
      <c r="F784" s="21">
        <v>1</v>
      </c>
      <c r="H784" t="s">
        <v>5771</v>
      </c>
      <c r="I784">
        <v>1</v>
      </c>
      <c r="K784" t="s">
        <v>5766</v>
      </c>
      <c r="L784" t="str">
        <f>"0805851569; 9780805851564"</f>
        <v>0805851569; 9780805851564</v>
      </c>
      <c r="N784" s="2" t="str">
        <f>"20060101"</f>
        <v>20060101</v>
      </c>
      <c r="Q784">
        <v>117</v>
      </c>
      <c r="R784">
        <v>25</v>
      </c>
      <c r="S784" t="s">
        <v>5767</v>
      </c>
      <c r="T784" t="s">
        <v>5768</v>
      </c>
      <c r="U784" t="s">
        <v>5769</v>
      </c>
      <c r="V784" t="s">
        <v>5770</v>
      </c>
      <c r="X784" t="s">
        <v>5772</v>
      </c>
      <c r="Y784" t="b">
        <f t="shared" si="12"/>
        <v>0</v>
      </c>
    </row>
    <row r="785" spans="1:25" hidden="1">
      <c r="A785" s="11" t="s">
        <v>9939</v>
      </c>
      <c r="B785" t="s">
        <v>16</v>
      </c>
      <c r="C785" s="2" t="s">
        <v>8339</v>
      </c>
      <c r="D785" t="s">
        <v>5774</v>
      </c>
      <c r="E785" t="s">
        <v>5773</v>
      </c>
      <c r="H785" t="s">
        <v>5779</v>
      </c>
      <c r="K785" t="s">
        <v>5775</v>
      </c>
      <c r="M785" t="str">
        <f>"07317115"</f>
        <v>07317115</v>
      </c>
      <c r="N785" s="2" t="str">
        <f>"20150301"</f>
        <v>20150301</v>
      </c>
      <c r="O785">
        <v>38</v>
      </c>
      <c r="P785">
        <v>2</v>
      </c>
      <c r="Q785">
        <v>114</v>
      </c>
      <c r="R785">
        <v>17</v>
      </c>
      <c r="S785" t="s">
        <v>5776</v>
      </c>
      <c r="T785" t="s">
        <v>5777</v>
      </c>
      <c r="U785" t="s">
        <v>87</v>
      </c>
      <c r="V785" t="s">
        <v>5778</v>
      </c>
      <c r="X785" t="s">
        <v>5780</v>
      </c>
      <c r="Y785" t="b">
        <f t="shared" si="12"/>
        <v>1</v>
      </c>
    </row>
    <row r="786" spans="1:25">
      <c r="A786" s="11" t="s">
        <v>9939</v>
      </c>
      <c r="B786" t="s">
        <v>16</v>
      </c>
      <c r="C786" s="2" t="s">
        <v>8338</v>
      </c>
      <c r="D786" t="s">
        <v>5782</v>
      </c>
      <c r="E786" t="s">
        <v>5781</v>
      </c>
      <c r="F786" s="21">
        <v>1</v>
      </c>
      <c r="H786" t="s">
        <v>5786</v>
      </c>
      <c r="I786">
        <v>0</v>
      </c>
      <c r="J786" t="s">
        <v>9178</v>
      </c>
      <c r="K786" t="s">
        <v>93</v>
      </c>
      <c r="M786" t="str">
        <f>"00207640"</f>
        <v>00207640</v>
      </c>
      <c r="N786" s="2" t="str">
        <f>"20060101"</f>
        <v>20060101</v>
      </c>
      <c r="O786">
        <v>52</v>
      </c>
      <c r="P786">
        <v>1</v>
      </c>
      <c r="Q786">
        <v>29</v>
      </c>
      <c r="R786">
        <v>12</v>
      </c>
      <c r="S786" t="s">
        <v>5783</v>
      </c>
      <c r="T786" t="s">
        <v>5784</v>
      </c>
      <c r="U786" t="s">
        <v>15</v>
      </c>
      <c r="V786" t="s">
        <v>5785</v>
      </c>
      <c r="X786" t="s">
        <v>5787</v>
      </c>
      <c r="Y786" t="b">
        <f t="shared" si="12"/>
        <v>0</v>
      </c>
    </row>
    <row r="787" spans="1:25" hidden="1">
      <c r="A787" s="11" t="s">
        <v>9939</v>
      </c>
      <c r="B787" t="s">
        <v>16</v>
      </c>
      <c r="C787" s="2" t="s">
        <v>8352</v>
      </c>
      <c r="D787" t="s">
        <v>5789</v>
      </c>
      <c r="E787" t="s">
        <v>5788</v>
      </c>
      <c r="H787" t="s">
        <v>5793</v>
      </c>
      <c r="K787" t="s">
        <v>140</v>
      </c>
      <c r="M787" t="str">
        <f>"02779536"</f>
        <v>02779536</v>
      </c>
      <c r="N787" s="2" t="str">
        <f>"20030901"</f>
        <v>20030901</v>
      </c>
      <c r="O787">
        <v>57</v>
      </c>
      <c r="P787">
        <v>5</v>
      </c>
      <c r="Q787">
        <v>769</v>
      </c>
      <c r="R787">
        <v>6</v>
      </c>
      <c r="S787" t="s">
        <v>5790</v>
      </c>
      <c r="T787" t="s">
        <v>5791</v>
      </c>
      <c r="U787" t="s">
        <v>34</v>
      </c>
      <c r="V787" t="s">
        <v>5792</v>
      </c>
      <c r="X787" t="s">
        <v>5794</v>
      </c>
      <c r="Y787" t="b">
        <f t="shared" si="12"/>
        <v>1</v>
      </c>
    </row>
    <row r="788" spans="1:25" hidden="1">
      <c r="A788" s="11" t="s">
        <v>9939</v>
      </c>
      <c r="B788" t="s">
        <v>16</v>
      </c>
      <c r="C788" s="2" t="s">
        <v>8347</v>
      </c>
      <c r="D788" t="s">
        <v>5796</v>
      </c>
      <c r="E788" t="s">
        <v>5795</v>
      </c>
      <c r="H788" t="s">
        <v>5800</v>
      </c>
      <c r="K788" t="s">
        <v>470</v>
      </c>
      <c r="M788" t="str">
        <f>"00029432"</f>
        <v>00029432</v>
      </c>
      <c r="N788" s="2" t="str">
        <f>"20080101"</f>
        <v>20080101</v>
      </c>
      <c r="O788">
        <v>78</v>
      </c>
      <c r="P788">
        <v>1</v>
      </c>
      <c r="Q788">
        <v>109</v>
      </c>
      <c r="R788">
        <v>12</v>
      </c>
      <c r="S788" t="s">
        <v>5797</v>
      </c>
      <c r="T788" t="s">
        <v>5798</v>
      </c>
      <c r="U788" t="s">
        <v>183</v>
      </c>
      <c r="V788" t="s">
        <v>5799</v>
      </c>
      <c r="X788" t="s">
        <v>5801</v>
      </c>
      <c r="Y788" t="b">
        <f t="shared" si="12"/>
        <v>1</v>
      </c>
    </row>
    <row r="789" spans="1:25" hidden="1">
      <c r="A789" s="11" t="s">
        <v>9939</v>
      </c>
      <c r="B789" t="s">
        <v>16</v>
      </c>
      <c r="C789" s="2" t="s">
        <v>8341</v>
      </c>
      <c r="D789" t="s">
        <v>5803</v>
      </c>
      <c r="E789" t="s">
        <v>5802</v>
      </c>
      <c r="H789" t="s">
        <v>5807</v>
      </c>
      <c r="K789" t="s">
        <v>2541</v>
      </c>
      <c r="M789" t="str">
        <f>"00048674"</f>
        <v>00048674</v>
      </c>
      <c r="N789" s="2" t="str">
        <f>"20090101"</f>
        <v>20090101</v>
      </c>
      <c r="O789">
        <v>43</v>
      </c>
      <c r="P789">
        <v>1</v>
      </c>
      <c r="Q789">
        <v>68</v>
      </c>
      <c r="R789">
        <v>8</v>
      </c>
      <c r="S789" t="s">
        <v>5804</v>
      </c>
      <c r="T789" t="s">
        <v>5805</v>
      </c>
      <c r="U789" t="s">
        <v>1227</v>
      </c>
      <c r="V789" t="s">
        <v>5806</v>
      </c>
      <c r="X789" t="s">
        <v>5808</v>
      </c>
      <c r="Y789" t="b">
        <f t="shared" si="12"/>
        <v>1</v>
      </c>
    </row>
    <row r="790" spans="1:25" hidden="1">
      <c r="A790" s="11" t="s">
        <v>9939</v>
      </c>
      <c r="B790" t="s">
        <v>16</v>
      </c>
      <c r="C790" s="2" t="s">
        <v>8334</v>
      </c>
      <c r="D790" t="s">
        <v>5810</v>
      </c>
      <c r="E790" t="s">
        <v>5809</v>
      </c>
      <c r="H790" t="s">
        <v>5814</v>
      </c>
      <c r="K790" t="s">
        <v>40</v>
      </c>
      <c r="M790" t="str">
        <f>"15571912"</f>
        <v>15571912</v>
      </c>
      <c r="N790" s="2" t="str">
        <f>"20141201"</f>
        <v>20141201</v>
      </c>
      <c r="O790">
        <v>16</v>
      </c>
      <c r="P790">
        <v>6</v>
      </c>
      <c r="Q790">
        <v>1278</v>
      </c>
      <c r="R790">
        <v>6</v>
      </c>
      <c r="S790" t="s">
        <v>5811</v>
      </c>
      <c r="T790" t="s">
        <v>5812</v>
      </c>
      <c r="U790" t="s">
        <v>42</v>
      </c>
      <c r="V790" t="s">
        <v>5813</v>
      </c>
      <c r="X790" t="s">
        <v>5815</v>
      </c>
      <c r="Y790" t="b">
        <f t="shared" si="12"/>
        <v>1</v>
      </c>
    </row>
    <row r="791" spans="1:25">
      <c r="A791" s="11" t="s">
        <v>9939</v>
      </c>
      <c r="B791" t="s">
        <v>16</v>
      </c>
      <c r="C791" s="2" t="s">
        <v>8336</v>
      </c>
      <c r="D791" t="s">
        <v>5817</v>
      </c>
      <c r="E791" t="s">
        <v>5816</v>
      </c>
      <c r="F791" s="21">
        <v>1</v>
      </c>
      <c r="H791" t="s">
        <v>5821</v>
      </c>
      <c r="I791">
        <v>1</v>
      </c>
      <c r="K791" t="s">
        <v>664</v>
      </c>
      <c r="M791" t="str">
        <f>"00332941"</f>
        <v>00332941</v>
      </c>
      <c r="N791" s="2" t="str">
        <f>"20070801"</f>
        <v>20070801</v>
      </c>
      <c r="O791">
        <v>101</v>
      </c>
      <c r="P791">
        <v>1</v>
      </c>
      <c r="Q791">
        <v>55</v>
      </c>
      <c r="R791">
        <v>6</v>
      </c>
      <c r="S791" t="s">
        <v>5818</v>
      </c>
      <c r="T791" t="s">
        <v>5819</v>
      </c>
      <c r="U791" t="s">
        <v>664</v>
      </c>
      <c r="V791" t="s">
        <v>5820</v>
      </c>
      <c r="X791" t="s">
        <v>5822</v>
      </c>
      <c r="Y791" t="b">
        <f t="shared" si="12"/>
        <v>0</v>
      </c>
    </row>
    <row r="792" spans="1:25" hidden="1">
      <c r="A792" s="11" t="s">
        <v>9939</v>
      </c>
      <c r="B792" t="s">
        <v>16</v>
      </c>
      <c r="C792" s="2" t="s">
        <v>8348</v>
      </c>
      <c r="D792" t="s">
        <v>5782</v>
      </c>
      <c r="E792" t="s">
        <v>5823</v>
      </c>
      <c r="F792" s="20">
        <v>0</v>
      </c>
      <c r="G792" t="s">
        <v>9178</v>
      </c>
      <c r="H792" t="s">
        <v>5828</v>
      </c>
      <c r="K792" t="s">
        <v>5824</v>
      </c>
      <c r="M792" t="str">
        <f>"0010440X"</f>
        <v>0010440X</v>
      </c>
      <c r="N792" s="2" t="str">
        <f>"20050901"</f>
        <v>20050901</v>
      </c>
      <c r="O792">
        <v>46</v>
      </c>
      <c r="P792">
        <v>5</v>
      </c>
      <c r="Q792">
        <v>390</v>
      </c>
      <c r="R792">
        <v>8</v>
      </c>
      <c r="S792" t="s">
        <v>5825</v>
      </c>
      <c r="T792" t="s">
        <v>5826</v>
      </c>
      <c r="U792" t="s">
        <v>34</v>
      </c>
      <c r="V792" t="s">
        <v>5827</v>
      </c>
      <c r="X792" t="s">
        <v>5829</v>
      </c>
      <c r="Y792" t="b">
        <f t="shared" si="12"/>
        <v>0</v>
      </c>
    </row>
    <row r="793" spans="1:25">
      <c r="A793" s="11" t="s">
        <v>9939</v>
      </c>
      <c r="B793" t="s">
        <v>16</v>
      </c>
      <c r="C793" s="2" t="s">
        <v>8347</v>
      </c>
      <c r="D793" t="s">
        <v>5831</v>
      </c>
      <c r="E793" t="s">
        <v>5830</v>
      </c>
      <c r="F793" s="21">
        <v>1</v>
      </c>
      <c r="H793" t="s">
        <v>5835</v>
      </c>
      <c r="I793">
        <v>0</v>
      </c>
      <c r="J793" t="s">
        <v>9237</v>
      </c>
      <c r="K793" t="s">
        <v>1029</v>
      </c>
      <c r="M793" t="str">
        <f>"01401971"</f>
        <v>01401971</v>
      </c>
      <c r="N793" s="2" t="str">
        <f>"20080601"</f>
        <v>20080601</v>
      </c>
      <c r="O793">
        <v>31</v>
      </c>
      <c r="P793">
        <v>3</v>
      </c>
      <c r="Q793">
        <v>323</v>
      </c>
      <c r="R793">
        <v>13</v>
      </c>
      <c r="S793" t="s">
        <v>5832</v>
      </c>
      <c r="T793" t="s">
        <v>5833</v>
      </c>
      <c r="U793" t="s">
        <v>34</v>
      </c>
      <c r="V793" t="s">
        <v>5834</v>
      </c>
      <c r="X793" t="s">
        <v>5836</v>
      </c>
      <c r="Y793" t="b">
        <f t="shared" si="12"/>
        <v>0</v>
      </c>
    </row>
    <row r="794" spans="1:25">
      <c r="A794" s="11" t="s">
        <v>9939</v>
      </c>
      <c r="B794" t="s">
        <v>16</v>
      </c>
      <c r="C794" s="2" t="s">
        <v>8343</v>
      </c>
      <c r="D794" t="s">
        <v>5838</v>
      </c>
      <c r="E794" t="s">
        <v>5837</v>
      </c>
      <c r="F794" s="21">
        <v>1</v>
      </c>
      <c r="H794" t="s">
        <v>5843</v>
      </c>
      <c r="I794">
        <v>1</v>
      </c>
      <c r="K794" t="s">
        <v>5839</v>
      </c>
      <c r="M794" t="str">
        <f>"10731911"</f>
        <v>10731911</v>
      </c>
      <c r="N794" s="2" t="str">
        <f>"20170101"</f>
        <v>20170101</v>
      </c>
      <c r="O794">
        <v>24</v>
      </c>
      <c r="P794">
        <v>1</v>
      </c>
      <c r="Q794">
        <v>104</v>
      </c>
      <c r="R794">
        <v>11</v>
      </c>
      <c r="S794" t="s">
        <v>5840</v>
      </c>
      <c r="T794" t="s">
        <v>5841</v>
      </c>
      <c r="U794" t="s">
        <v>15</v>
      </c>
      <c r="V794" t="s">
        <v>5842</v>
      </c>
      <c r="X794" t="s">
        <v>5844</v>
      </c>
      <c r="Y794" t="b">
        <f t="shared" si="12"/>
        <v>0</v>
      </c>
    </row>
    <row r="795" spans="1:25">
      <c r="A795" s="11" t="s">
        <v>9939</v>
      </c>
      <c r="B795" t="s">
        <v>16</v>
      </c>
      <c r="C795" s="2" t="s">
        <v>8346</v>
      </c>
      <c r="D795" t="s">
        <v>5846</v>
      </c>
      <c r="E795" t="s">
        <v>5845</v>
      </c>
      <c r="F795" s="21">
        <v>1</v>
      </c>
      <c r="H795" t="s">
        <v>5850</v>
      </c>
      <c r="I795">
        <v>1</v>
      </c>
      <c r="K795" t="s">
        <v>252</v>
      </c>
      <c r="M795" t="str">
        <f>"00220221"</f>
        <v>00220221</v>
      </c>
      <c r="N795" s="2" t="str">
        <f>"20110101"</f>
        <v>20110101</v>
      </c>
      <c r="O795">
        <v>42</v>
      </c>
      <c r="P795">
        <v>1</v>
      </c>
      <c r="Q795">
        <v>104</v>
      </c>
      <c r="R795">
        <v>16</v>
      </c>
      <c r="S795" t="s">
        <v>5847</v>
      </c>
      <c r="T795" t="s">
        <v>5848</v>
      </c>
      <c r="U795" t="s">
        <v>15</v>
      </c>
      <c r="V795" t="s">
        <v>5849</v>
      </c>
      <c r="X795" t="s">
        <v>5851</v>
      </c>
      <c r="Y795" t="b">
        <f t="shared" si="12"/>
        <v>0</v>
      </c>
    </row>
    <row r="796" spans="1:25">
      <c r="A796" s="11" t="s">
        <v>9939</v>
      </c>
      <c r="B796" t="s">
        <v>16</v>
      </c>
      <c r="C796" s="2" t="s">
        <v>8340</v>
      </c>
      <c r="D796" t="s">
        <v>5853</v>
      </c>
      <c r="E796" t="s">
        <v>5852</v>
      </c>
      <c r="F796" s="21">
        <v>1</v>
      </c>
      <c r="H796" t="s">
        <v>5857</v>
      </c>
      <c r="I796">
        <v>1</v>
      </c>
      <c r="K796" t="s">
        <v>551</v>
      </c>
      <c r="M796" t="str">
        <f>"16641078"</f>
        <v>16641078</v>
      </c>
      <c r="N796" s="2" t="str">
        <f>"20180717"</f>
        <v>20180717</v>
      </c>
      <c r="O796">
        <v>9</v>
      </c>
      <c r="S796" t="s">
        <v>5854</v>
      </c>
      <c r="T796" t="s">
        <v>5855</v>
      </c>
      <c r="U796" t="s">
        <v>554</v>
      </c>
      <c r="V796" t="s">
        <v>5856</v>
      </c>
      <c r="X796" t="s">
        <v>5858</v>
      </c>
      <c r="Y796" t="b">
        <f t="shared" si="12"/>
        <v>0</v>
      </c>
    </row>
    <row r="797" spans="1:25">
      <c r="A797" s="11" t="s">
        <v>9939</v>
      </c>
      <c r="B797" t="s">
        <v>16</v>
      </c>
      <c r="C797" s="2" t="s">
        <v>8347</v>
      </c>
      <c r="D797" t="s">
        <v>5860</v>
      </c>
      <c r="E797" t="s">
        <v>5859</v>
      </c>
      <c r="F797" s="21">
        <v>1</v>
      </c>
      <c r="H797" t="s">
        <v>5864</v>
      </c>
      <c r="I797">
        <v>1</v>
      </c>
      <c r="K797" t="s">
        <v>40</v>
      </c>
      <c r="M797" t="str">
        <f>"15571912"</f>
        <v>15571912</v>
      </c>
      <c r="N797" s="2" t="str">
        <f>"20080401"</f>
        <v>20080401</v>
      </c>
      <c r="O797">
        <v>10</v>
      </c>
      <c r="P797">
        <v>2</v>
      </c>
      <c r="Q797">
        <v>187</v>
      </c>
      <c r="R797">
        <v>9</v>
      </c>
      <c r="S797" t="s">
        <v>5861</v>
      </c>
      <c r="T797" t="s">
        <v>5862</v>
      </c>
      <c r="U797" t="s">
        <v>42</v>
      </c>
      <c r="V797" t="s">
        <v>5863</v>
      </c>
      <c r="X797" t="s">
        <v>5865</v>
      </c>
      <c r="Y797" t="b">
        <f t="shared" si="12"/>
        <v>0</v>
      </c>
    </row>
    <row r="798" spans="1:25" hidden="1">
      <c r="A798" s="11" t="s">
        <v>9939</v>
      </c>
      <c r="B798" t="s">
        <v>16</v>
      </c>
      <c r="C798" s="2" t="s">
        <v>8341</v>
      </c>
      <c r="D798" t="s">
        <v>5867</v>
      </c>
      <c r="E798" t="s">
        <v>5866</v>
      </c>
      <c r="H798" t="s">
        <v>5871</v>
      </c>
      <c r="K798" t="s">
        <v>93</v>
      </c>
      <c r="M798" t="str">
        <f>"00207640"</f>
        <v>00207640</v>
      </c>
      <c r="N798" s="2" t="str">
        <f>"20090501"</f>
        <v>20090501</v>
      </c>
      <c r="O798">
        <v>55</v>
      </c>
      <c r="P798">
        <v>3</v>
      </c>
      <c r="Q798">
        <v>203</v>
      </c>
      <c r="R798">
        <v>11</v>
      </c>
      <c r="S798" t="s">
        <v>5868</v>
      </c>
      <c r="T798" t="s">
        <v>5869</v>
      </c>
      <c r="U798" t="s">
        <v>15</v>
      </c>
      <c r="V798" t="s">
        <v>5870</v>
      </c>
      <c r="X798" t="s">
        <v>5872</v>
      </c>
      <c r="Y798" t="b">
        <f t="shared" si="12"/>
        <v>1</v>
      </c>
    </row>
    <row r="799" spans="1:25" hidden="1">
      <c r="A799" s="11" t="s">
        <v>9939</v>
      </c>
      <c r="B799" t="s">
        <v>16</v>
      </c>
      <c r="C799" s="2" t="s">
        <v>8341</v>
      </c>
      <c r="D799" t="s">
        <v>5874</v>
      </c>
      <c r="E799" t="s">
        <v>5873</v>
      </c>
      <c r="H799" t="s">
        <v>5879</v>
      </c>
      <c r="K799" t="s">
        <v>5875</v>
      </c>
      <c r="M799" t="str">
        <f>"08949867"</f>
        <v>08949867</v>
      </c>
      <c r="N799" s="2" t="str">
        <f>"20090401"</f>
        <v>20090401</v>
      </c>
      <c r="O799">
        <v>22</v>
      </c>
      <c r="P799">
        <v>2</v>
      </c>
      <c r="Q799">
        <v>91</v>
      </c>
      <c r="R799">
        <v>11</v>
      </c>
      <c r="S799" t="s">
        <v>5876</v>
      </c>
      <c r="T799" t="s">
        <v>5877</v>
      </c>
      <c r="U799" t="s">
        <v>224</v>
      </c>
      <c r="V799" t="s">
        <v>5878</v>
      </c>
      <c r="X799" t="s">
        <v>5880</v>
      </c>
      <c r="Y799" t="b">
        <f t="shared" si="12"/>
        <v>1</v>
      </c>
    </row>
    <row r="800" spans="1:25">
      <c r="A800" s="11" t="s">
        <v>9939</v>
      </c>
      <c r="B800" t="s">
        <v>16</v>
      </c>
      <c r="C800" s="2" t="s">
        <v>8339</v>
      </c>
      <c r="D800" t="s">
        <v>5882</v>
      </c>
      <c r="E800" t="s">
        <v>5881</v>
      </c>
      <c r="F800" s="21">
        <v>1</v>
      </c>
      <c r="H800" t="s">
        <v>5887</v>
      </c>
      <c r="I800">
        <v>1</v>
      </c>
      <c r="J800" t="s">
        <v>9952</v>
      </c>
      <c r="K800" t="s">
        <v>5883</v>
      </c>
      <c r="M800" t="str">
        <f>"03607283"</f>
        <v>03607283</v>
      </c>
      <c r="N800" s="2" t="str">
        <f>"20151101"</f>
        <v>20151101</v>
      </c>
      <c r="O800">
        <v>40</v>
      </c>
      <c r="P800">
        <v>4</v>
      </c>
      <c r="Q800">
        <v>298</v>
      </c>
      <c r="R800">
        <v>9</v>
      </c>
      <c r="S800" t="s">
        <v>5884</v>
      </c>
      <c r="T800" t="s">
        <v>5885</v>
      </c>
      <c r="U800" t="s">
        <v>675</v>
      </c>
      <c r="V800" t="s">
        <v>5886</v>
      </c>
      <c r="X800" t="s">
        <v>5888</v>
      </c>
      <c r="Y800" t="b">
        <f t="shared" si="12"/>
        <v>0</v>
      </c>
    </row>
    <row r="801" spans="1:25">
      <c r="A801" s="11" t="s">
        <v>9939</v>
      </c>
      <c r="B801" t="s">
        <v>16</v>
      </c>
      <c r="C801" s="2" t="s">
        <v>8342</v>
      </c>
      <c r="D801" t="s">
        <v>5890</v>
      </c>
      <c r="E801" t="s">
        <v>5889</v>
      </c>
      <c r="F801" s="21">
        <v>1</v>
      </c>
      <c r="H801" t="s">
        <v>5894</v>
      </c>
      <c r="I801">
        <v>1</v>
      </c>
      <c r="K801" t="s">
        <v>703</v>
      </c>
      <c r="M801" t="str">
        <f>"00219029"</f>
        <v>00219029</v>
      </c>
      <c r="N801" s="2" t="str">
        <f>"20120701"</f>
        <v>20120701</v>
      </c>
      <c r="O801">
        <v>42</v>
      </c>
      <c r="P801">
        <v>7</v>
      </c>
      <c r="Q801">
        <v>1551</v>
      </c>
      <c r="R801">
        <v>25</v>
      </c>
      <c r="S801" t="s">
        <v>5891</v>
      </c>
      <c r="T801" t="s">
        <v>5892</v>
      </c>
      <c r="U801" t="s">
        <v>730</v>
      </c>
      <c r="V801" t="s">
        <v>5893</v>
      </c>
      <c r="X801" t="s">
        <v>5895</v>
      </c>
      <c r="Y801" t="b">
        <f t="shared" si="12"/>
        <v>0</v>
      </c>
    </row>
    <row r="802" spans="1:25" hidden="1">
      <c r="A802" s="11" t="s">
        <v>9939</v>
      </c>
      <c r="B802" t="s">
        <v>69</v>
      </c>
      <c r="C802" s="2" t="s">
        <v>8349</v>
      </c>
      <c r="D802" t="s">
        <v>5897</v>
      </c>
      <c r="E802" t="s">
        <v>5896</v>
      </c>
      <c r="H802" t="s">
        <v>5900</v>
      </c>
      <c r="K802" t="s">
        <v>101</v>
      </c>
      <c r="L802" t="str">
        <f>"9780438706781"</f>
        <v>9780438706781</v>
      </c>
      <c r="M802" t="str">
        <f>"04194217"</f>
        <v>04194217</v>
      </c>
      <c r="N802" s="2" t="str">
        <f>"20190101"</f>
        <v>20190101</v>
      </c>
      <c r="O802">
        <v>80</v>
      </c>
      <c r="P802" t="s">
        <v>2556</v>
      </c>
      <c r="S802" t="s">
        <v>5898</v>
      </c>
      <c r="U802" t="s">
        <v>68</v>
      </c>
      <c r="V802" t="s">
        <v>5899</v>
      </c>
      <c r="X802" t="s">
        <v>5901</v>
      </c>
      <c r="Y802" t="b">
        <f t="shared" si="12"/>
        <v>1</v>
      </c>
    </row>
    <row r="803" spans="1:25" hidden="1">
      <c r="A803" s="11" t="s">
        <v>9939</v>
      </c>
      <c r="B803" t="s">
        <v>16</v>
      </c>
      <c r="C803" s="2" t="s">
        <v>8335</v>
      </c>
      <c r="D803" t="s">
        <v>5903</v>
      </c>
      <c r="E803" t="s">
        <v>5902</v>
      </c>
      <c r="H803" t="s">
        <v>5907</v>
      </c>
      <c r="K803" t="s">
        <v>485</v>
      </c>
      <c r="M803" t="str">
        <f>"10964045"</f>
        <v>10964045</v>
      </c>
      <c r="N803" s="2" t="str">
        <f>"20040401"</f>
        <v>20040401</v>
      </c>
      <c r="O803">
        <v>6</v>
      </c>
      <c r="P803">
        <v>2</v>
      </c>
      <c r="Q803">
        <v>71</v>
      </c>
      <c r="R803">
        <v>11</v>
      </c>
      <c r="S803" t="s">
        <v>5904</v>
      </c>
      <c r="T803" t="s">
        <v>5905</v>
      </c>
      <c r="U803" t="s">
        <v>42</v>
      </c>
      <c r="V803" t="s">
        <v>5906</v>
      </c>
      <c r="X803" t="s">
        <v>5908</v>
      </c>
      <c r="Y803" t="b">
        <f t="shared" si="12"/>
        <v>1</v>
      </c>
    </row>
    <row r="804" spans="1:25" hidden="1">
      <c r="A804" s="11" t="s">
        <v>9939</v>
      </c>
      <c r="B804" t="s">
        <v>16</v>
      </c>
      <c r="C804" s="2" t="s">
        <v>8341</v>
      </c>
      <c r="D804" t="s">
        <v>5910</v>
      </c>
      <c r="E804" t="s">
        <v>5909</v>
      </c>
      <c r="F804" s="20">
        <v>0</v>
      </c>
      <c r="G804" t="s">
        <v>9249</v>
      </c>
      <c r="H804" t="s">
        <v>5915</v>
      </c>
      <c r="K804" t="s">
        <v>5911</v>
      </c>
      <c r="M804" t="str">
        <f>"00169862"</f>
        <v>00169862</v>
      </c>
      <c r="N804" s="2" t="str">
        <f>"20090401"</f>
        <v>20090401</v>
      </c>
      <c r="O804">
        <v>53</v>
      </c>
      <c r="P804">
        <v>2</v>
      </c>
      <c r="Q804">
        <v>121</v>
      </c>
      <c r="R804">
        <v>16</v>
      </c>
      <c r="S804" t="s">
        <v>5912</v>
      </c>
      <c r="T804" t="s">
        <v>5913</v>
      </c>
      <c r="U804" t="s">
        <v>15</v>
      </c>
      <c r="V804" t="s">
        <v>5914</v>
      </c>
      <c r="X804" t="s">
        <v>5916</v>
      </c>
      <c r="Y804" t="b">
        <f t="shared" si="12"/>
        <v>0</v>
      </c>
    </row>
    <row r="805" spans="1:25">
      <c r="A805" s="11" t="s">
        <v>9939</v>
      </c>
      <c r="B805" t="s">
        <v>16</v>
      </c>
      <c r="C805" s="2" t="s">
        <v>8347</v>
      </c>
      <c r="D805" t="s">
        <v>5918</v>
      </c>
      <c r="E805" t="s">
        <v>5917</v>
      </c>
      <c r="F805" s="21">
        <v>1</v>
      </c>
      <c r="H805" t="s">
        <v>5922</v>
      </c>
      <c r="I805">
        <v>1</v>
      </c>
      <c r="K805" t="s">
        <v>2460</v>
      </c>
      <c r="M805" t="str">
        <f>"00121649"</f>
        <v>00121649</v>
      </c>
      <c r="N805" s="2" t="str">
        <f>"20080501"</f>
        <v>20080501</v>
      </c>
      <c r="O805">
        <v>44</v>
      </c>
      <c r="P805">
        <v>3</v>
      </c>
      <c r="Q805">
        <v>787</v>
      </c>
      <c r="R805">
        <v>14</v>
      </c>
      <c r="S805" t="s">
        <v>5919</v>
      </c>
      <c r="T805" t="s">
        <v>5920</v>
      </c>
      <c r="U805" t="s">
        <v>59</v>
      </c>
      <c r="V805" t="s">
        <v>5921</v>
      </c>
      <c r="X805" t="s">
        <v>5923</v>
      </c>
      <c r="Y805" t="b">
        <f t="shared" si="12"/>
        <v>0</v>
      </c>
    </row>
    <row r="806" spans="1:25">
      <c r="A806" s="11" t="s">
        <v>9939</v>
      </c>
      <c r="B806" t="s">
        <v>16</v>
      </c>
      <c r="C806" s="2" t="s">
        <v>8339</v>
      </c>
      <c r="D806" t="s">
        <v>5925</v>
      </c>
      <c r="E806" t="s">
        <v>5924</v>
      </c>
      <c r="F806" s="21">
        <v>1</v>
      </c>
      <c r="H806" t="s">
        <v>5929</v>
      </c>
      <c r="I806">
        <v>1</v>
      </c>
      <c r="K806" t="s">
        <v>970</v>
      </c>
      <c r="M806" t="str">
        <f>"10999809"</f>
        <v>10999809</v>
      </c>
      <c r="N806" s="2" t="str">
        <f>"20151001"</f>
        <v>20151001</v>
      </c>
      <c r="O806">
        <v>21</v>
      </c>
      <c r="P806">
        <v>4</v>
      </c>
      <c r="Q806">
        <v>527</v>
      </c>
      <c r="R806">
        <v>6</v>
      </c>
      <c r="S806" t="s">
        <v>5926</v>
      </c>
      <c r="T806" t="s">
        <v>5927</v>
      </c>
      <c r="U806" t="s">
        <v>183</v>
      </c>
      <c r="V806" t="s">
        <v>5928</v>
      </c>
      <c r="X806" t="s">
        <v>5930</v>
      </c>
      <c r="Y806" t="b">
        <f t="shared" si="12"/>
        <v>0</v>
      </c>
    </row>
    <row r="807" spans="1:25" hidden="1">
      <c r="A807" s="11" t="s">
        <v>9939</v>
      </c>
      <c r="B807" t="s">
        <v>16</v>
      </c>
      <c r="C807" s="2" t="s">
        <v>8343</v>
      </c>
      <c r="D807" t="s">
        <v>5932</v>
      </c>
      <c r="E807" t="s">
        <v>5931</v>
      </c>
      <c r="F807" s="20">
        <v>0</v>
      </c>
      <c r="G807" t="s">
        <v>9249</v>
      </c>
      <c r="H807" t="s">
        <v>5936</v>
      </c>
      <c r="K807" t="s">
        <v>933</v>
      </c>
      <c r="M807" t="str">
        <f>"00103853"</f>
        <v>00103853</v>
      </c>
      <c r="N807" s="2" t="str">
        <f>"20170101"</f>
        <v>20170101</v>
      </c>
      <c r="O807">
        <v>53</v>
      </c>
      <c r="P807">
        <v>1</v>
      </c>
      <c r="Q807">
        <v>92</v>
      </c>
      <c r="R807">
        <v>10</v>
      </c>
      <c r="S807" t="s">
        <v>5933</v>
      </c>
      <c r="T807" t="s">
        <v>5934</v>
      </c>
      <c r="U807" t="s">
        <v>42</v>
      </c>
      <c r="V807" t="s">
        <v>5935</v>
      </c>
      <c r="X807" t="s">
        <v>5937</v>
      </c>
      <c r="Y807" t="b">
        <f t="shared" si="12"/>
        <v>0</v>
      </c>
    </row>
    <row r="808" spans="1:25" hidden="1">
      <c r="A808" s="11" t="s">
        <v>9939</v>
      </c>
      <c r="B808" t="s">
        <v>16</v>
      </c>
      <c r="C808" s="2" t="s">
        <v>8342</v>
      </c>
      <c r="D808" t="s">
        <v>5939</v>
      </c>
      <c r="E808" t="s">
        <v>5938</v>
      </c>
      <c r="H808" t="s">
        <v>5943</v>
      </c>
      <c r="K808" t="s">
        <v>933</v>
      </c>
      <c r="M808" t="str">
        <f>"00103853"</f>
        <v>00103853</v>
      </c>
      <c r="N808" s="2" t="str">
        <f>"20121201"</f>
        <v>20121201</v>
      </c>
      <c r="O808">
        <v>48</v>
      </c>
      <c r="P808">
        <v>6</v>
      </c>
      <c r="Q808">
        <v>792</v>
      </c>
      <c r="R808">
        <v>6</v>
      </c>
      <c r="S808" t="s">
        <v>5940</v>
      </c>
      <c r="T808" t="s">
        <v>5941</v>
      </c>
      <c r="U808" t="s">
        <v>42</v>
      </c>
      <c r="V808" t="s">
        <v>5942</v>
      </c>
      <c r="X808" t="s">
        <v>5944</v>
      </c>
      <c r="Y808" t="b">
        <f t="shared" si="12"/>
        <v>1</v>
      </c>
    </row>
    <row r="809" spans="1:25" hidden="1">
      <c r="A809" s="11" t="s">
        <v>9939</v>
      </c>
      <c r="B809" t="s">
        <v>16</v>
      </c>
      <c r="C809" s="2" t="s">
        <v>8342</v>
      </c>
      <c r="D809" t="s">
        <v>4299</v>
      </c>
      <c r="E809" t="s">
        <v>5945</v>
      </c>
      <c r="F809" s="20">
        <v>0</v>
      </c>
      <c r="G809" t="s">
        <v>9249</v>
      </c>
      <c r="H809" t="s">
        <v>5949</v>
      </c>
      <c r="K809" t="s">
        <v>703</v>
      </c>
      <c r="M809" t="str">
        <f>"00219029"</f>
        <v>00219029</v>
      </c>
      <c r="N809" s="2" t="str">
        <f>"20120101"</f>
        <v>20120101</v>
      </c>
      <c r="O809">
        <v>42</v>
      </c>
      <c r="P809">
        <v>1</v>
      </c>
      <c r="Q809">
        <v>133</v>
      </c>
      <c r="R809">
        <v>18</v>
      </c>
      <c r="S809" t="s">
        <v>5946</v>
      </c>
      <c r="T809" t="s">
        <v>5947</v>
      </c>
      <c r="U809" t="s">
        <v>730</v>
      </c>
      <c r="V809" t="s">
        <v>5948</v>
      </c>
      <c r="X809" t="s">
        <v>5950</v>
      </c>
      <c r="Y809" t="b">
        <f t="shared" si="12"/>
        <v>0</v>
      </c>
    </row>
    <row r="810" spans="1:25" hidden="1">
      <c r="A810" s="11" t="s">
        <v>9939</v>
      </c>
      <c r="B810" t="s">
        <v>16</v>
      </c>
      <c r="C810" s="2" t="s">
        <v>8334</v>
      </c>
      <c r="D810" t="s">
        <v>5952</v>
      </c>
      <c r="E810" t="s">
        <v>5951</v>
      </c>
      <c r="F810" s="20">
        <v>0</v>
      </c>
      <c r="G810" t="s">
        <v>9237</v>
      </c>
      <c r="H810" t="s">
        <v>5956</v>
      </c>
      <c r="K810" t="s">
        <v>664</v>
      </c>
      <c r="M810" t="str">
        <f>"00332941"</f>
        <v>00332941</v>
      </c>
      <c r="N810" s="2" t="str">
        <f>"20141201"</f>
        <v>20141201</v>
      </c>
      <c r="O810">
        <v>115</v>
      </c>
      <c r="P810">
        <v>3</v>
      </c>
      <c r="Q810">
        <v>918</v>
      </c>
      <c r="R810">
        <v>14</v>
      </c>
      <c r="S810" t="s">
        <v>5953</v>
      </c>
      <c r="T810" t="s">
        <v>5954</v>
      </c>
      <c r="U810" t="s">
        <v>664</v>
      </c>
      <c r="V810" t="s">
        <v>5955</v>
      </c>
      <c r="X810" t="s">
        <v>5957</v>
      </c>
      <c r="Y810" t="b">
        <f t="shared" si="12"/>
        <v>0</v>
      </c>
    </row>
    <row r="811" spans="1:25">
      <c r="A811" s="11" t="s">
        <v>9939</v>
      </c>
      <c r="B811" t="s">
        <v>16</v>
      </c>
      <c r="C811" s="2" t="s">
        <v>8334</v>
      </c>
      <c r="D811" t="s">
        <v>5959</v>
      </c>
      <c r="E811" t="s">
        <v>5958</v>
      </c>
      <c r="F811" s="21">
        <v>1</v>
      </c>
      <c r="H811" t="s">
        <v>5964</v>
      </c>
      <c r="I811">
        <v>1</v>
      </c>
      <c r="K811" t="s">
        <v>5960</v>
      </c>
      <c r="M811" t="str">
        <f>"03768716"</f>
        <v>03768716</v>
      </c>
      <c r="N811" s="2" t="str">
        <f>"20140301"</f>
        <v>20140301</v>
      </c>
      <c r="O811">
        <v>136</v>
      </c>
      <c r="Q811">
        <v>79</v>
      </c>
      <c r="R811">
        <v>6</v>
      </c>
      <c r="S811" t="s">
        <v>5961</v>
      </c>
      <c r="T811" t="s">
        <v>5962</v>
      </c>
      <c r="U811" t="s">
        <v>34</v>
      </c>
      <c r="V811" t="s">
        <v>5963</v>
      </c>
      <c r="X811" t="s">
        <v>5965</v>
      </c>
      <c r="Y811" t="b">
        <f t="shared" si="12"/>
        <v>0</v>
      </c>
    </row>
    <row r="812" spans="1:25">
      <c r="A812" s="11" t="s">
        <v>9939</v>
      </c>
      <c r="B812" t="s">
        <v>16</v>
      </c>
      <c r="C812" s="2" t="s">
        <v>8352</v>
      </c>
      <c r="D812" t="s">
        <v>5967</v>
      </c>
      <c r="E812" t="s">
        <v>5966</v>
      </c>
      <c r="F812" s="21">
        <v>1</v>
      </c>
      <c r="H812" t="s">
        <v>5972</v>
      </c>
      <c r="I812">
        <v>1</v>
      </c>
      <c r="K812" t="s">
        <v>5968</v>
      </c>
      <c r="M812" t="str">
        <f>"01488376"</f>
        <v>01488376</v>
      </c>
      <c r="N812" s="2" t="str">
        <f>"20030101"</f>
        <v>20030101</v>
      </c>
      <c r="O812">
        <v>30</v>
      </c>
      <c r="P812">
        <v>1</v>
      </c>
      <c r="Q812">
        <v>63</v>
      </c>
      <c r="R812">
        <v>29</v>
      </c>
      <c r="S812" t="s">
        <v>5969</v>
      </c>
      <c r="T812" t="s">
        <v>5970</v>
      </c>
      <c r="U812" t="s">
        <v>420</v>
      </c>
      <c r="V812" t="s">
        <v>5971</v>
      </c>
      <c r="X812" t="s">
        <v>5973</v>
      </c>
      <c r="Y812" t="b">
        <f t="shared" si="12"/>
        <v>0</v>
      </c>
    </row>
    <row r="813" spans="1:25" hidden="1">
      <c r="A813" s="11" t="s">
        <v>9939</v>
      </c>
      <c r="B813" t="s">
        <v>16</v>
      </c>
      <c r="C813" s="2" t="s">
        <v>8339</v>
      </c>
      <c r="D813" t="s">
        <v>5975</v>
      </c>
      <c r="E813" t="s">
        <v>5974</v>
      </c>
      <c r="F813" s="20">
        <v>0</v>
      </c>
      <c r="G813" t="s">
        <v>9178</v>
      </c>
      <c r="H813" t="s">
        <v>5979</v>
      </c>
      <c r="K813" t="s">
        <v>5662</v>
      </c>
      <c r="M813" t="str">
        <f>"0890765X"</f>
        <v>0890765X</v>
      </c>
      <c r="N813" s="2" t="str">
        <f>"20150301"</f>
        <v>20150301</v>
      </c>
      <c r="O813">
        <v>31</v>
      </c>
      <c r="P813">
        <v>2</v>
      </c>
      <c r="Q813">
        <v>165</v>
      </c>
      <c r="R813">
        <v>11</v>
      </c>
      <c r="S813" t="s">
        <v>5976</v>
      </c>
      <c r="T813" t="s">
        <v>5977</v>
      </c>
      <c r="U813" t="s">
        <v>730</v>
      </c>
      <c r="V813" t="s">
        <v>5978</v>
      </c>
      <c r="X813" t="s">
        <v>5980</v>
      </c>
      <c r="Y813" t="b">
        <f t="shared" si="12"/>
        <v>0</v>
      </c>
    </row>
    <row r="814" spans="1:25" hidden="1">
      <c r="A814" s="11" t="s">
        <v>9939</v>
      </c>
      <c r="B814" t="s">
        <v>16</v>
      </c>
      <c r="C814" s="2" t="s">
        <v>8344</v>
      </c>
      <c r="D814" t="s">
        <v>5982</v>
      </c>
      <c r="E814" t="s">
        <v>5981</v>
      </c>
      <c r="H814" t="s">
        <v>5986</v>
      </c>
      <c r="K814" t="s">
        <v>370</v>
      </c>
      <c r="M814" t="str">
        <f>"00207594"</f>
        <v>00207594</v>
      </c>
      <c r="N814" s="2" t="str">
        <f>"20100601"</f>
        <v>20100601</v>
      </c>
      <c r="O814">
        <v>45</v>
      </c>
      <c r="P814">
        <v>3</v>
      </c>
      <c r="Q814">
        <v>190</v>
      </c>
      <c r="R814">
        <v>12</v>
      </c>
      <c r="S814" t="s">
        <v>5983</v>
      </c>
      <c r="T814" t="s">
        <v>5984</v>
      </c>
      <c r="U814" t="s">
        <v>87</v>
      </c>
      <c r="V814" t="s">
        <v>5985</v>
      </c>
      <c r="X814" t="s">
        <v>5987</v>
      </c>
      <c r="Y814" t="b">
        <f t="shared" si="12"/>
        <v>1</v>
      </c>
    </row>
    <row r="815" spans="1:25">
      <c r="A815" s="11" t="s">
        <v>9939</v>
      </c>
      <c r="B815" t="s">
        <v>16</v>
      </c>
      <c r="C815" s="2" t="s">
        <v>8349</v>
      </c>
      <c r="D815" t="s">
        <v>5989</v>
      </c>
      <c r="E815" t="s">
        <v>5988</v>
      </c>
      <c r="F815" s="21">
        <v>1</v>
      </c>
      <c r="H815" t="s">
        <v>5995</v>
      </c>
      <c r="I815">
        <v>1</v>
      </c>
      <c r="K815" t="s">
        <v>5990</v>
      </c>
      <c r="M815" t="str">
        <f>"21953325"</f>
        <v>21953325</v>
      </c>
      <c r="N815" s="2" t="str">
        <f>"20190101"</f>
        <v>20190101</v>
      </c>
      <c r="O815">
        <v>7</v>
      </c>
      <c r="P815">
        <v>1</v>
      </c>
      <c r="Q815">
        <v>577</v>
      </c>
      <c r="R815">
        <v>21</v>
      </c>
      <c r="S815" t="s">
        <v>5991</v>
      </c>
      <c r="T815" t="s">
        <v>5992</v>
      </c>
      <c r="U815" t="s">
        <v>5993</v>
      </c>
      <c r="V815" t="s">
        <v>5994</v>
      </c>
      <c r="X815" t="s">
        <v>5996</v>
      </c>
      <c r="Y815" t="b">
        <f t="shared" si="12"/>
        <v>0</v>
      </c>
    </row>
    <row r="816" spans="1:25">
      <c r="A816" s="11" t="s">
        <v>9939</v>
      </c>
      <c r="B816" t="s">
        <v>69</v>
      </c>
      <c r="C816" s="2" t="s">
        <v>8344</v>
      </c>
      <c r="D816" t="s">
        <v>5998</v>
      </c>
      <c r="E816" t="s">
        <v>5997</v>
      </c>
      <c r="F816" s="21">
        <v>1</v>
      </c>
      <c r="H816" t="s">
        <v>6001</v>
      </c>
      <c r="I816">
        <v>1</v>
      </c>
      <c r="K816" t="s">
        <v>101</v>
      </c>
      <c r="L816" t="str">
        <f>"9781109630169"</f>
        <v>9781109630169</v>
      </c>
      <c r="M816" t="str">
        <f>"04194217"</f>
        <v>04194217</v>
      </c>
      <c r="N816" s="2" t="str">
        <f>"20100101"</f>
        <v>20100101</v>
      </c>
      <c r="O816">
        <v>71</v>
      </c>
      <c r="P816" t="s">
        <v>102</v>
      </c>
      <c r="Q816">
        <v>1344</v>
      </c>
      <c r="R816">
        <v>1</v>
      </c>
      <c r="S816" t="s">
        <v>5999</v>
      </c>
      <c r="U816" t="s">
        <v>68</v>
      </c>
      <c r="V816" t="s">
        <v>6000</v>
      </c>
      <c r="X816" t="s">
        <v>6002</v>
      </c>
      <c r="Y816" t="b">
        <f t="shared" si="12"/>
        <v>0</v>
      </c>
    </row>
    <row r="817" spans="1:25">
      <c r="A817" s="11" t="s">
        <v>9939</v>
      </c>
      <c r="B817" t="s">
        <v>16</v>
      </c>
      <c r="C817" s="2" t="s">
        <v>8347</v>
      </c>
      <c r="D817" t="s">
        <v>6004</v>
      </c>
      <c r="E817" t="s">
        <v>6003</v>
      </c>
      <c r="F817" s="21">
        <v>1</v>
      </c>
      <c r="H817" t="s">
        <v>6008</v>
      </c>
      <c r="I817">
        <v>0</v>
      </c>
      <c r="J817" t="s">
        <v>9245</v>
      </c>
      <c r="K817" t="s">
        <v>40</v>
      </c>
      <c r="M817" t="str">
        <f>"15571912"</f>
        <v>15571912</v>
      </c>
      <c r="N817" s="2" t="str">
        <f>"20080801"</f>
        <v>20080801</v>
      </c>
      <c r="O817">
        <v>10</v>
      </c>
      <c r="P817">
        <v>4</v>
      </c>
      <c r="Q817">
        <v>291</v>
      </c>
      <c r="R817">
        <v>14</v>
      </c>
      <c r="S817" t="s">
        <v>6005</v>
      </c>
      <c r="T817" t="s">
        <v>6006</v>
      </c>
      <c r="U817" t="s">
        <v>42</v>
      </c>
      <c r="V817" t="s">
        <v>6007</v>
      </c>
      <c r="X817" t="s">
        <v>6009</v>
      </c>
      <c r="Y817" t="b">
        <f t="shared" si="12"/>
        <v>0</v>
      </c>
    </row>
    <row r="818" spans="1:25">
      <c r="A818" s="11" t="s">
        <v>9939</v>
      </c>
      <c r="B818" t="s">
        <v>69</v>
      </c>
      <c r="C818" s="2" t="s">
        <v>8344</v>
      </c>
      <c r="D818" t="s">
        <v>6011</v>
      </c>
      <c r="E818" t="s">
        <v>6010</v>
      </c>
      <c r="F818" s="21">
        <v>1</v>
      </c>
      <c r="H818" t="s">
        <v>6014</v>
      </c>
      <c r="I818">
        <v>1</v>
      </c>
      <c r="K818" t="s">
        <v>101</v>
      </c>
      <c r="L818" t="str">
        <f>"9781109288513"</f>
        <v>9781109288513</v>
      </c>
      <c r="M818" t="str">
        <f>"04194217"</f>
        <v>04194217</v>
      </c>
      <c r="N818" s="2" t="str">
        <f>"20100101"</f>
        <v>20100101</v>
      </c>
      <c r="O818">
        <v>70</v>
      </c>
      <c r="P818" t="s">
        <v>2216</v>
      </c>
      <c r="Q818">
        <v>4495</v>
      </c>
      <c r="R818">
        <v>1</v>
      </c>
      <c r="S818" t="s">
        <v>6012</v>
      </c>
      <c r="U818" t="s">
        <v>68</v>
      </c>
      <c r="V818" t="s">
        <v>6013</v>
      </c>
      <c r="X818" t="s">
        <v>6015</v>
      </c>
      <c r="Y818" t="b">
        <f t="shared" si="12"/>
        <v>0</v>
      </c>
    </row>
    <row r="819" spans="1:25" hidden="1">
      <c r="A819" s="11" t="s">
        <v>9939</v>
      </c>
      <c r="B819" t="s">
        <v>16</v>
      </c>
      <c r="C819" s="2" t="s">
        <v>8344</v>
      </c>
      <c r="D819" t="s">
        <v>6017</v>
      </c>
      <c r="E819" t="s">
        <v>6016</v>
      </c>
      <c r="F819" s="20">
        <v>0</v>
      </c>
      <c r="G819" t="s">
        <v>9178</v>
      </c>
      <c r="H819" t="s">
        <v>6021</v>
      </c>
      <c r="K819" t="s">
        <v>347</v>
      </c>
      <c r="M819" t="str">
        <f>"00900036"</f>
        <v>00900036</v>
      </c>
      <c r="N819" s="2" t="str">
        <f>"20101001"</f>
        <v>20101001</v>
      </c>
      <c r="O819">
        <v>100</v>
      </c>
      <c r="P819">
        <v>10</v>
      </c>
      <c r="Q819">
        <v>1930</v>
      </c>
      <c r="R819">
        <v>8</v>
      </c>
      <c r="S819" t="s">
        <v>6018</v>
      </c>
      <c r="T819" t="s">
        <v>6019</v>
      </c>
      <c r="U819" t="s">
        <v>350</v>
      </c>
      <c r="V819" t="s">
        <v>6020</v>
      </c>
      <c r="X819" t="s">
        <v>6022</v>
      </c>
      <c r="Y819" t="b">
        <f t="shared" si="12"/>
        <v>0</v>
      </c>
    </row>
    <row r="820" spans="1:25" hidden="1">
      <c r="A820" s="11" t="s">
        <v>9939</v>
      </c>
      <c r="B820" t="s">
        <v>16</v>
      </c>
      <c r="C820" s="2" t="s">
        <v>8340</v>
      </c>
      <c r="D820" t="s">
        <v>6024</v>
      </c>
      <c r="E820" t="s">
        <v>6023</v>
      </c>
      <c r="F820" s="20">
        <v>0</v>
      </c>
      <c r="G820" t="s">
        <v>9178</v>
      </c>
      <c r="H820" t="s">
        <v>6028</v>
      </c>
      <c r="K820" t="s">
        <v>3083</v>
      </c>
      <c r="M820" t="str">
        <f>"21604096"</f>
        <v>21604096</v>
      </c>
      <c r="N820" s="2" t="str">
        <f>"20180901"</f>
        <v>20180901</v>
      </c>
      <c r="O820">
        <v>7</v>
      </c>
      <c r="P820" s="1">
        <v>44289</v>
      </c>
      <c r="Q820" s="1">
        <v>127</v>
      </c>
      <c r="R820">
        <v>16</v>
      </c>
      <c r="S820" t="s">
        <v>6025</v>
      </c>
      <c r="T820" t="s">
        <v>6026</v>
      </c>
      <c r="U820" t="s">
        <v>183</v>
      </c>
      <c r="V820" t="s">
        <v>6027</v>
      </c>
      <c r="X820" t="s">
        <v>6029</v>
      </c>
      <c r="Y820" t="b">
        <f t="shared" si="12"/>
        <v>0</v>
      </c>
    </row>
    <row r="821" spans="1:25">
      <c r="A821" s="11" t="s">
        <v>9939</v>
      </c>
      <c r="B821" t="s">
        <v>16</v>
      </c>
      <c r="C821" s="2" t="s">
        <v>8349</v>
      </c>
      <c r="D821" t="s">
        <v>6031</v>
      </c>
      <c r="E821" t="s">
        <v>6030</v>
      </c>
      <c r="F821" s="21">
        <v>1</v>
      </c>
      <c r="H821" t="s">
        <v>6035</v>
      </c>
      <c r="I821">
        <v>1</v>
      </c>
      <c r="K821" t="s">
        <v>40</v>
      </c>
      <c r="M821" t="str">
        <f>"15571912"</f>
        <v>15571912</v>
      </c>
      <c r="N821" s="2" t="str">
        <f>"20190615"</f>
        <v>20190615</v>
      </c>
      <c r="O821">
        <v>21</v>
      </c>
      <c r="P821">
        <v>3</v>
      </c>
      <c r="Q821">
        <v>451</v>
      </c>
      <c r="R821">
        <v>10</v>
      </c>
      <c r="S821" t="s">
        <v>6032</v>
      </c>
      <c r="T821" t="s">
        <v>6033</v>
      </c>
      <c r="U821" t="s">
        <v>42</v>
      </c>
      <c r="V821" t="s">
        <v>6034</v>
      </c>
      <c r="X821" t="s">
        <v>6036</v>
      </c>
      <c r="Y821" t="b">
        <f t="shared" si="12"/>
        <v>0</v>
      </c>
    </row>
    <row r="822" spans="1:25">
      <c r="A822" s="11" t="s">
        <v>9939</v>
      </c>
      <c r="B822" t="s">
        <v>16</v>
      </c>
      <c r="C822" s="2" t="s">
        <v>8343</v>
      </c>
      <c r="D822" t="s">
        <v>6038</v>
      </c>
      <c r="E822" t="s">
        <v>6037</v>
      </c>
      <c r="F822" s="21">
        <v>1</v>
      </c>
      <c r="H822" t="s">
        <v>6043</v>
      </c>
      <c r="I822">
        <v>1</v>
      </c>
      <c r="K822" t="s">
        <v>6039</v>
      </c>
      <c r="M822" t="str">
        <f>"02724316"</f>
        <v>02724316</v>
      </c>
      <c r="N822" s="2" t="str">
        <f>"20171101"</f>
        <v>20171101</v>
      </c>
      <c r="O822">
        <v>37</v>
      </c>
      <c r="P822">
        <v>9</v>
      </c>
      <c r="Q822">
        <v>1309</v>
      </c>
      <c r="R822">
        <v>32</v>
      </c>
      <c r="S822" t="s">
        <v>6040</v>
      </c>
      <c r="T822" t="s">
        <v>6041</v>
      </c>
      <c r="U822" t="s">
        <v>15</v>
      </c>
      <c r="V822" t="s">
        <v>6042</v>
      </c>
      <c r="X822" t="s">
        <v>6044</v>
      </c>
      <c r="Y822" t="b">
        <f t="shared" si="12"/>
        <v>0</v>
      </c>
    </row>
    <row r="823" spans="1:25">
      <c r="A823" s="11" t="s">
        <v>9939</v>
      </c>
      <c r="B823" t="s">
        <v>16</v>
      </c>
      <c r="C823" s="2" t="s">
        <v>8343</v>
      </c>
      <c r="D823" t="s">
        <v>6046</v>
      </c>
      <c r="E823" t="s">
        <v>6045</v>
      </c>
      <c r="F823" s="21">
        <v>1</v>
      </c>
      <c r="H823" t="s">
        <v>6050</v>
      </c>
      <c r="I823">
        <v>1</v>
      </c>
      <c r="K823" t="s">
        <v>40</v>
      </c>
      <c r="M823" t="str">
        <f>"15571912"</f>
        <v>15571912</v>
      </c>
      <c r="N823" s="2" t="str">
        <f>"20171001"</f>
        <v>20171001</v>
      </c>
      <c r="O823">
        <v>19</v>
      </c>
      <c r="P823">
        <v>5</v>
      </c>
      <c r="Q823">
        <v>1196</v>
      </c>
      <c r="R823">
        <v>11</v>
      </c>
      <c r="S823" t="s">
        <v>6047</v>
      </c>
      <c r="T823" t="s">
        <v>6048</v>
      </c>
      <c r="U823" t="s">
        <v>42</v>
      </c>
      <c r="V823" t="s">
        <v>6049</v>
      </c>
      <c r="X823" t="s">
        <v>6051</v>
      </c>
      <c r="Y823" t="b">
        <f t="shared" si="12"/>
        <v>0</v>
      </c>
    </row>
    <row r="824" spans="1:25">
      <c r="A824" s="11" t="s">
        <v>9939</v>
      </c>
      <c r="B824" t="s">
        <v>16</v>
      </c>
      <c r="C824" s="2" t="s">
        <v>8334</v>
      </c>
      <c r="D824" t="s">
        <v>6053</v>
      </c>
      <c r="E824" t="s">
        <v>6052</v>
      </c>
      <c r="F824" s="21">
        <v>1</v>
      </c>
      <c r="H824" t="s">
        <v>6057</v>
      </c>
      <c r="I824">
        <v>1</v>
      </c>
      <c r="J824" t="s">
        <v>9952</v>
      </c>
      <c r="K824" t="s">
        <v>197</v>
      </c>
      <c r="M824" t="str">
        <f>"10436596"</f>
        <v>10436596</v>
      </c>
      <c r="N824" s="2" t="str">
        <f>"20140401"</f>
        <v>20140401</v>
      </c>
      <c r="O824">
        <v>25</v>
      </c>
      <c r="P824">
        <v>2</v>
      </c>
      <c r="Q824">
        <v>137</v>
      </c>
      <c r="R824">
        <v>8</v>
      </c>
      <c r="S824" t="s">
        <v>6054</v>
      </c>
      <c r="T824" t="s">
        <v>6055</v>
      </c>
      <c r="U824" t="s">
        <v>15</v>
      </c>
      <c r="V824" t="s">
        <v>6056</v>
      </c>
      <c r="X824" t="s">
        <v>6058</v>
      </c>
      <c r="Y824" t="b">
        <f t="shared" si="12"/>
        <v>0</v>
      </c>
    </row>
    <row r="825" spans="1:25">
      <c r="A825" s="11" t="s">
        <v>9939</v>
      </c>
      <c r="B825" t="s">
        <v>16</v>
      </c>
      <c r="C825" s="2" t="s">
        <v>8340</v>
      </c>
      <c r="D825" t="s">
        <v>6060</v>
      </c>
      <c r="E825" t="s">
        <v>6059</v>
      </c>
      <c r="F825" s="21">
        <v>1</v>
      </c>
      <c r="H825" t="s">
        <v>6064</v>
      </c>
      <c r="I825">
        <v>0</v>
      </c>
      <c r="J825" t="s">
        <v>9237</v>
      </c>
      <c r="K825" t="s">
        <v>155</v>
      </c>
      <c r="M825" t="str">
        <f>"00910562"</f>
        <v>00910562</v>
      </c>
      <c r="N825" s="2" t="str">
        <f>"20180601"</f>
        <v>20180601</v>
      </c>
      <c r="O825">
        <v>61</v>
      </c>
      <c r="P825" s="1">
        <v>44289</v>
      </c>
      <c r="Q825" s="1">
        <v>344</v>
      </c>
      <c r="R825">
        <v>14</v>
      </c>
      <c r="S825" t="s">
        <v>6061</v>
      </c>
      <c r="T825" t="s">
        <v>6062</v>
      </c>
      <c r="U825" t="s">
        <v>730</v>
      </c>
      <c r="V825" t="s">
        <v>6063</v>
      </c>
      <c r="X825" t="s">
        <v>6065</v>
      </c>
      <c r="Y825" t="b">
        <f t="shared" si="12"/>
        <v>0</v>
      </c>
    </row>
    <row r="826" spans="1:25">
      <c r="A826" s="11" t="s">
        <v>9939</v>
      </c>
      <c r="B826" t="s">
        <v>16</v>
      </c>
      <c r="C826" s="2" t="s">
        <v>8344</v>
      </c>
      <c r="D826" t="s">
        <v>6067</v>
      </c>
      <c r="E826" t="s">
        <v>6066</v>
      </c>
      <c r="F826" s="21">
        <v>1</v>
      </c>
      <c r="H826" t="s">
        <v>6071</v>
      </c>
      <c r="I826">
        <v>1</v>
      </c>
      <c r="K826" t="s">
        <v>5489</v>
      </c>
      <c r="M826" t="str">
        <f>"01973533"</f>
        <v>01973533</v>
      </c>
      <c r="N826" s="2" t="str">
        <f>"20100401"</f>
        <v>20100401</v>
      </c>
      <c r="O826">
        <v>32</v>
      </c>
      <c r="P826">
        <v>2</v>
      </c>
      <c r="Q826">
        <v>185</v>
      </c>
      <c r="R826">
        <v>11</v>
      </c>
      <c r="S826" t="s">
        <v>6068</v>
      </c>
      <c r="T826" t="s">
        <v>6069</v>
      </c>
      <c r="U826" t="s">
        <v>87</v>
      </c>
      <c r="V826" t="s">
        <v>6070</v>
      </c>
      <c r="X826" t="s">
        <v>6072</v>
      </c>
      <c r="Y826" t="b">
        <f t="shared" si="12"/>
        <v>0</v>
      </c>
    </row>
    <row r="827" spans="1:25" hidden="1">
      <c r="A827" s="11" t="s">
        <v>9939</v>
      </c>
      <c r="B827" t="s">
        <v>16</v>
      </c>
      <c r="C827" s="2" t="s">
        <v>8339</v>
      </c>
      <c r="D827" t="s">
        <v>6074</v>
      </c>
      <c r="E827" t="s">
        <v>6073</v>
      </c>
      <c r="F827" s="20">
        <v>0</v>
      </c>
      <c r="G827" t="s">
        <v>9249</v>
      </c>
      <c r="H827" t="s">
        <v>6079</v>
      </c>
      <c r="K827" t="s">
        <v>6075</v>
      </c>
      <c r="M827" t="str">
        <f>"10508619"</f>
        <v>10508619</v>
      </c>
      <c r="N827" s="2" t="str">
        <f>"20150701"</f>
        <v>20150701</v>
      </c>
      <c r="O827">
        <v>25</v>
      </c>
      <c r="P827">
        <v>3</v>
      </c>
      <c r="Q827">
        <v>230</v>
      </c>
      <c r="R827">
        <v>17</v>
      </c>
      <c r="S827" t="s">
        <v>6076</v>
      </c>
      <c r="T827" t="s">
        <v>6077</v>
      </c>
      <c r="U827" t="s">
        <v>87</v>
      </c>
      <c r="V827" t="s">
        <v>6078</v>
      </c>
      <c r="X827" t="s">
        <v>6080</v>
      </c>
      <c r="Y827" t="b">
        <f t="shared" si="12"/>
        <v>0</v>
      </c>
    </row>
    <row r="828" spans="1:25" hidden="1">
      <c r="A828" s="11" t="s">
        <v>9939</v>
      </c>
      <c r="B828" t="s">
        <v>16</v>
      </c>
      <c r="C828" s="2" t="s">
        <v>8342</v>
      </c>
      <c r="D828" t="s">
        <v>6082</v>
      </c>
      <c r="E828" t="s">
        <v>6081</v>
      </c>
      <c r="H828" t="s">
        <v>6086</v>
      </c>
      <c r="K828" t="s">
        <v>1152</v>
      </c>
      <c r="M828" t="str">
        <f>"00208728"</f>
        <v>00208728</v>
      </c>
      <c r="N828" s="2" t="str">
        <f>"20120701"</f>
        <v>20120701</v>
      </c>
      <c r="O828">
        <v>55</v>
      </c>
      <c r="P828">
        <v>4</v>
      </c>
      <c r="Q828">
        <v>538</v>
      </c>
      <c r="R828">
        <v>16</v>
      </c>
      <c r="S828" t="s">
        <v>6083</v>
      </c>
      <c r="T828" t="s">
        <v>6084</v>
      </c>
      <c r="U828" t="s">
        <v>15</v>
      </c>
      <c r="V828" t="s">
        <v>6085</v>
      </c>
      <c r="X828" t="s">
        <v>6087</v>
      </c>
      <c r="Y828" t="b">
        <f t="shared" si="12"/>
        <v>1</v>
      </c>
    </row>
    <row r="829" spans="1:25">
      <c r="A829" s="11" t="s">
        <v>9939</v>
      </c>
      <c r="B829" t="s">
        <v>16</v>
      </c>
      <c r="C829" s="2" t="s">
        <v>8340</v>
      </c>
      <c r="D829" t="s">
        <v>6089</v>
      </c>
      <c r="E829" t="s">
        <v>6088</v>
      </c>
      <c r="F829" s="21">
        <v>1</v>
      </c>
      <c r="H829" t="s">
        <v>6093</v>
      </c>
      <c r="I829">
        <v>1</v>
      </c>
      <c r="K829" t="s">
        <v>5693</v>
      </c>
      <c r="M829" t="str">
        <f>"08901171"</f>
        <v>08901171</v>
      </c>
      <c r="N829" s="2" t="str">
        <f>"20180201"</f>
        <v>20180201</v>
      </c>
      <c r="O829">
        <v>32</v>
      </c>
      <c r="P829">
        <v>2</v>
      </c>
      <c r="Q829">
        <v>446</v>
      </c>
      <c r="R829">
        <v>7</v>
      </c>
      <c r="S829" t="s">
        <v>6090</v>
      </c>
      <c r="T829" t="s">
        <v>6091</v>
      </c>
      <c r="U829" t="s">
        <v>15</v>
      </c>
      <c r="V829" t="s">
        <v>6092</v>
      </c>
      <c r="X829" t="s">
        <v>6094</v>
      </c>
      <c r="Y829" t="b">
        <f t="shared" si="12"/>
        <v>0</v>
      </c>
    </row>
    <row r="830" spans="1:25" hidden="1">
      <c r="A830" s="11" t="s">
        <v>9939</v>
      </c>
      <c r="B830" t="s">
        <v>16</v>
      </c>
      <c r="C830" s="2" t="s">
        <v>8347</v>
      </c>
      <c r="D830" t="s">
        <v>6096</v>
      </c>
      <c r="E830" t="s">
        <v>6095</v>
      </c>
      <c r="F830" s="20">
        <v>0</v>
      </c>
      <c r="G830" t="s">
        <v>9178</v>
      </c>
      <c r="H830" t="s">
        <v>6100</v>
      </c>
      <c r="K830" t="s">
        <v>276</v>
      </c>
      <c r="M830" t="str">
        <f>"10927875"</f>
        <v>10927875</v>
      </c>
      <c r="N830" s="2" t="str">
        <f>"20080501"</f>
        <v>20080501</v>
      </c>
      <c r="O830">
        <v>12</v>
      </c>
      <c r="P830">
        <v>3</v>
      </c>
      <c r="Q830">
        <v>342</v>
      </c>
      <c r="R830">
        <v>15</v>
      </c>
      <c r="S830" t="s">
        <v>6097</v>
      </c>
      <c r="T830" t="s">
        <v>6098</v>
      </c>
      <c r="U830" t="s">
        <v>42</v>
      </c>
      <c r="V830" t="s">
        <v>6099</v>
      </c>
      <c r="X830" t="s">
        <v>6101</v>
      </c>
      <c r="Y830" t="b">
        <f t="shared" si="12"/>
        <v>0</v>
      </c>
    </row>
    <row r="831" spans="1:25">
      <c r="A831" s="11" t="s">
        <v>9939</v>
      </c>
      <c r="B831" t="s">
        <v>16</v>
      </c>
      <c r="C831" s="2" t="s">
        <v>8337</v>
      </c>
      <c r="D831" t="s">
        <v>6103</v>
      </c>
      <c r="E831" t="s">
        <v>6102</v>
      </c>
      <c r="F831" s="21">
        <v>1</v>
      </c>
      <c r="H831" t="s">
        <v>6108</v>
      </c>
      <c r="I831">
        <v>1</v>
      </c>
      <c r="K831" t="s">
        <v>6104</v>
      </c>
      <c r="M831" t="str">
        <f>"20595794"</f>
        <v>20595794</v>
      </c>
      <c r="N831" s="2" t="str">
        <f>"20130101"</f>
        <v>20130101</v>
      </c>
      <c r="O831">
        <v>20</v>
      </c>
      <c r="P831">
        <v>3</v>
      </c>
      <c r="Q831">
        <v>449</v>
      </c>
      <c r="R831">
        <v>15</v>
      </c>
      <c r="S831" t="s">
        <v>6105</v>
      </c>
      <c r="T831" t="s">
        <v>6106</v>
      </c>
      <c r="U831" t="s">
        <v>78</v>
      </c>
      <c r="V831" t="s">
        <v>6107</v>
      </c>
      <c r="X831" t="s">
        <v>6109</v>
      </c>
      <c r="Y831" t="b">
        <f t="shared" si="12"/>
        <v>0</v>
      </c>
    </row>
    <row r="832" spans="1:25" hidden="1">
      <c r="A832" s="11" t="s">
        <v>9939</v>
      </c>
      <c r="B832" t="s">
        <v>16</v>
      </c>
      <c r="C832" s="2" t="s">
        <v>8335</v>
      </c>
      <c r="D832" t="s">
        <v>6111</v>
      </c>
      <c r="E832" t="s">
        <v>6110</v>
      </c>
      <c r="H832" t="s">
        <v>6115</v>
      </c>
      <c r="K832" t="s">
        <v>5046</v>
      </c>
      <c r="M832" t="str">
        <f>"08982643"</f>
        <v>08982643</v>
      </c>
      <c r="N832" s="2" t="str">
        <f>"20040801"</f>
        <v>20040801</v>
      </c>
      <c r="O832">
        <v>16</v>
      </c>
      <c r="P832">
        <v>4</v>
      </c>
      <c r="Q832">
        <v>447</v>
      </c>
      <c r="R832">
        <v>20</v>
      </c>
      <c r="S832" t="s">
        <v>6112</v>
      </c>
      <c r="T832" t="s">
        <v>6113</v>
      </c>
      <c r="U832" t="s">
        <v>15</v>
      </c>
      <c r="V832" t="s">
        <v>6114</v>
      </c>
      <c r="X832" t="s">
        <v>6116</v>
      </c>
      <c r="Y832" t="b">
        <f t="shared" si="12"/>
        <v>1</v>
      </c>
    </row>
    <row r="833" spans="1:25">
      <c r="A833" s="11" t="s">
        <v>9939</v>
      </c>
      <c r="B833" t="s">
        <v>16</v>
      </c>
      <c r="C833" s="2" t="s">
        <v>8341</v>
      </c>
      <c r="D833" t="s">
        <v>6118</v>
      </c>
      <c r="E833" t="s">
        <v>6117</v>
      </c>
      <c r="F833" s="21">
        <v>1</v>
      </c>
      <c r="H833" t="s">
        <v>6124</v>
      </c>
      <c r="I833">
        <v>1</v>
      </c>
      <c r="K833" t="s">
        <v>6119</v>
      </c>
      <c r="M833" t="str">
        <f>"00914509"</f>
        <v>00914509</v>
      </c>
      <c r="N833" s="2" t="str">
        <f>"20090301"</f>
        <v>20090301</v>
      </c>
      <c r="O833">
        <v>36</v>
      </c>
      <c r="P833" s="1">
        <v>44228</v>
      </c>
      <c r="Q833" s="1">
        <v>217</v>
      </c>
      <c r="R833">
        <v>28</v>
      </c>
      <c r="S833" t="s">
        <v>6120</v>
      </c>
      <c r="T833" t="s">
        <v>6121</v>
      </c>
      <c r="U833" t="s">
        <v>6122</v>
      </c>
      <c r="V833" t="s">
        <v>6123</v>
      </c>
      <c r="X833" t="s">
        <v>6125</v>
      </c>
      <c r="Y833" t="b">
        <f t="shared" si="12"/>
        <v>0</v>
      </c>
    </row>
    <row r="834" spans="1:25" hidden="1">
      <c r="A834" s="11" t="s">
        <v>9939</v>
      </c>
      <c r="B834" t="s">
        <v>16</v>
      </c>
      <c r="C834" s="2" t="s">
        <v>8342</v>
      </c>
      <c r="D834" t="s">
        <v>6127</v>
      </c>
      <c r="E834" t="s">
        <v>6126</v>
      </c>
      <c r="F834" s="20">
        <v>0</v>
      </c>
      <c r="G834" t="s">
        <v>9178</v>
      </c>
      <c r="H834" t="s">
        <v>6131</v>
      </c>
      <c r="K834" t="s">
        <v>140</v>
      </c>
      <c r="M834" t="str">
        <f>"02779536"</f>
        <v>02779536</v>
      </c>
      <c r="N834" s="2" t="str">
        <f>"20120501"</f>
        <v>20120501</v>
      </c>
      <c r="O834">
        <v>74</v>
      </c>
      <c r="P834">
        <v>10</v>
      </c>
      <c r="Q834">
        <v>1610</v>
      </c>
      <c r="R834">
        <v>12</v>
      </c>
      <c r="S834" t="s">
        <v>6128</v>
      </c>
      <c r="T834" t="s">
        <v>6129</v>
      </c>
      <c r="U834" t="s">
        <v>34</v>
      </c>
      <c r="V834" t="s">
        <v>6130</v>
      </c>
      <c r="X834" t="s">
        <v>6132</v>
      </c>
      <c r="Y834" t="b">
        <f t="shared" ref="Y834:Y897" si="13">COUNTIF(X:X, X834)&gt;1</f>
        <v>0</v>
      </c>
    </row>
    <row r="835" spans="1:25" hidden="1">
      <c r="A835" s="11" t="s">
        <v>9939</v>
      </c>
      <c r="B835" t="s">
        <v>69</v>
      </c>
      <c r="C835" s="2" t="s">
        <v>8352</v>
      </c>
      <c r="D835" t="s">
        <v>6134</v>
      </c>
      <c r="E835" t="s">
        <v>6133</v>
      </c>
      <c r="H835" t="s">
        <v>6137</v>
      </c>
      <c r="K835" t="s">
        <v>101</v>
      </c>
      <c r="M835" t="str">
        <f>"04194217"</f>
        <v>04194217</v>
      </c>
      <c r="N835" s="2" t="str">
        <f>"20030101"</f>
        <v>20030101</v>
      </c>
      <c r="O835">
        <v>64</v>
      </c>
      <c r="P835" t="s">
        <v>102</v>
      </c>
      <c r="Q835">
        <v>990</v>
      </c>
      <c r="R835">
        <v>1</v>
      </c>
      <c r="S835" t="s">
        <v>6135</v>
      </c>
      <c r="U835" t="s">
        <v>68</v>
      </c>
      <c r="V835" t="s">
        <v>6136</v>
      </c>
      <c r="X835" t="s">
        <v>6138</v>
      </c>
      <c r="Y835" t="b">
        <f t="shared" si="13"/>
        <v>1</v>
      </c>
    </row>
    <row r="836" spans="1:25">
      <c r="A836" s="11" t="s">
        <v>9939</v>
      </c>
      <c r="B836" t="s">
        <v>16</v>
      </c>
      <c r="C836" s="2" t="s">
        <v>8347</v>
      </c>
      <c r="D836" t="s">
        <v>6140</v>
      </c>
      <c r="E836" t="s">
        <v>6139</v>
      </c>
      <c r="F836" s="21">
        <v>1</v>
      </c>
      <c r="H836" t="s">
        <v>6145</v>
      </c>
      <c r="I836">
        <v>1</v>
      </c>
      <c r="K836" t="s">
        <v>6141</v>
      </c>
      <c r="M836" t="str">
        <f>"00333506"</f>
        <v>00333506</v>
      </c>
      <c r="N836" s="2" t="str">
        <f>"20080601"</f>
        <v>20080601</v>
      </c>
      <c r="O836">
        <v>122</v>
      </c>
      <c r="P836">
        <v>6</v>
      </c>
      <c r="Q836">
        <v>625</v>
      </c>
      <c r="R836">
        <v>6</v>
      </c>
      <c r="S836" t="s">
        <v>6142</v>
      </c>
      <c r="T836" t="s">
        <v>6143</v>
      </c>
      <c r="U836" t="s">
        <v>34</v>
      </c>
      <c r="V836" t="s">
        <v>6144</v>
      </c>
      <c r="X836" t="s">
        <v>6146</v>
      </c>
      <c r="Y836" t="b">
        <f t="shared" si="13"/>
        <v>0</v>
      </c>
    </row>
    <row r="837" spans="1:25" hidden="1">
      <c r="A837" s="11" t="s">
        <v>9939</v>
      </c>
      <c r="B837" t="s">
        <v>16</v>
      </c>
      <c r="C837" s="2" t="s">
        <v>8341</v>
      </c>
      <c r="D837" t="s">
        <v>6148</v>
      </c>
      <c r="E837" t="s">
        <v>6147</v>
      </c>
      <c r="H837" t="s">
        <v>6152</v>
      </c>
      <c r="K837" t="s">
        <v>2045</v>
      </c>
      <c r="M837" t="str">
        <f>"08999546"</f>
        <v>08999546</v>
      </c>
      <c r="N837" s="2" t="str">
        <f>"20091001"</f>
        <v>20091001</v>
      </c>
      <c r="O837">
        <v>21</v>
      </c>
      <c r="P837">
        <v>5</v>
      </c>
      <c r="Q837">
        <v>484</v>
      </c>
      <c r="R837">
        <v>11</v>
      </c>
      <c r="S837" t="s">
        <v>6149</v>
      </c>
      <c r="T837" t="s">
        <v>6150</v>
      </c>
      <c r="U837" t="s">
        <v>2048</v>
      </c>
      <c r="V837" t="s">
        <v>6151</v>
      </c>
      <c r="X837" t="s">
        <v>6153</v>
      </c>
      <c r="Y837" t="b">
        <f t="shared" si="13"/>
        <v>1</v>
      </c>
    </row>
    <row r="838" spans="1:25">
      <c r="A838" s="11" t="s">
        <v>9939</v>
      </c>
      <c r="B838" t="s">
        <v>69</v>
      </c>
      <c r="C838" s="2" t="s">
        <v>8336</v>
      </c>
      <c r="D838" t="s">
        <v>6155</v>
      </c>
      <c r="E838" t="s">
        <v>6154</v>
      </c>
      <c r="F838" s="21">
        <v>1</v>
      </c>
      <c r="H838" t="s">
        <v>6158</v>
      </c>
      <c r="I838">
        <v>1</v>
      </c>
      <c r="K838" t="s">
        <v>101</v>
      </c>
      <c r="M838" t="str">
        <f>"04194217"</f>
        <v>04194217</v>
      </c>
      <c r="N838" s="2" t="str">
        <f>"20070101"</f>
        <v>20070101</v>
      </c>
      <c r="O838">
        <v>68</v>
      </c>
      <c r="P838" t="s">
        <v>2962</v>
      </c>
      <c r="Q838">
        <v>2959</v>
      </c>
      <c r="R838">
        <v>1</v>
      </c>
      <c r="S838" t="s">
        <v>6156</v>
      </c>
      <c r="U838" t="s">
        <v>68</v>
      </c>
      <c r="V838" t="s">
        <v>6157</v>
      </c>
      <c r="X838" t="s">
        <v>6159</v>
      </c>
      <c r="Y838" t="b">
        <f t="shared" si="13"/>
        <v>0</v>
      </c>
    </row>
    <row r="839" spans="1:25">
      <c r="A839" s="11" t="s">
        <v>9939</v>
      </c>
      <c r="B839" t="s">
        <v>16</v>
      </c>
      <c r="C839" s="2" t="s">
        <v>8349</v>
      </c>
      <c r="D839" t="s">
        <v>6161</v>
      </c>
      <c r="E839" t="s">
        <v>6160</v>
      </c>
      <c r="F839" s="21">
        <v>1</v>
      </c>
      <c r="H839" t="s">
        <v>6165</v>
      </c>
      <c r="I839">
        <v>1</v>
      </c>
      <c r="J839" t="s">
        <v>9952</v>
      </c>
      <c r="K839" t="s">
        <v>2634</v>
      </c>
      <c r="M839" t="str">
        <f>"19326203"</f>
        <v>19326203</v>
      </c>
      <c r="N839" s="2" t="str">
        <f>"20190813"</f>
        <v>20190813</v>
      </c>
      <c r="O839">
        <v>14</v>
      </c>
      <c r="P839">
        <v>8</v>
      </c>
      <c r="S839" t="s">
        <v>6162</v>
      </c>
      <c r="T839" t="s">
        <v>6163</v>
      </c>
      <c r="U839" t="s">
        <v>2637</v>
      </c>
      <c r="V839" t="s">
        <v>6164</v>
      </c>
      <c r="X839" t="s">
        <v>6166</v>
      </c>
      <c r="Y839" t="b">
        <f t="shared" si="13"/>
        <v>0</v>
      </c>
    </row>
    <row r="840" spans="1:25">
      <c r="A840" s="11" t="s">
        <v>9939</v>
      </c>
      <c r="B840" t="s">
        <v>16</v>
      </c>
      <c r="C840" s="2" t="s">
        <v>8337</v>
      </c>
      <c r="D840" t="s">
        <v>6168</v>
      </c>
      <c r="E840" t="s">
        <v>6167</v>
      </c>
      <c r="F840" s="21">
        <v>1</v>
      </c>
      <c r="H840" t="s">
        <v>6172</v>
      </c>
      <c r="I840">
        <v>1</v>
      </c>
      <c r="K840" t="s">
        <v>970</v>
      </c>
      <c r="M840" t="str">
        <f>"10999809"</f>
        <v>10999809</v>
      </c>
      <c r="N840" s="2" t="str">
        <f>"20131001"</f>
        <v>20131001</v>
      </c>
      <c r="O840">
        <v>19</v>
      </c>
      <c r="P840">
        <v>4</v>
      </c>
      <c r="Q840">
        <v>414</v>
      </c>
      <c r="R840">
        <v>10</v>
      </c>
      <c r="S840" t="s">
        <v>6169</v>
      </c>
      <c r="T840" t="s">
        <v>6170</v>
      </c>
      <c r="U840" t="s">
        <v>183</v>
      </c>
      <c r="V840" t="s">
        <v>6171</v>
      </c>
      <c r="X840" t="s">
        <v>6173</v>
      </c>
      <c r="Y840" t="b">
        <f t="shared" si="13"/>
        <v>0</v>
      </c>
    </row>
    <row r="841" spans="1:25">
      <c r="A841" s="11" t="s">
        <v>9939</v>
      </c>
      <c r="B841" t="s">
        <v>16</v>
      </c>
      <c r="C841" s="2" t="s">
        <v>8337</v>
      </c>
      <c r="D841" t="s">
        <v>6175</v>
      </c>
      <c r="E841" t="s">
        <v>6174</v>
      </c>
      <c r="F841" s="21">
        <v>1</v>
      </c>
      <c r="H841" t="s">
        <v>6179</v>
      </c>
      <c r="I841">
        <v>1</v>
      </c>
      <c r="K841" t="s">
        <v>40</v>
      </c>
      <c r="M841" t="str">
        <f>"15571912"</f>
        <v>15571912</v>
      </c>
      <c r="N841" s="2" t="str">
        <f>"20131201"</f>
        <v>20131201</v>
      </c>
      <c r="O841">
        <v>15</v>
      </c>
      <c r="P841">
        <v>6</v>
      </c>
      <c r="Q841">
        <v>1038</v>
      </c>
      <c r="R841">
        <v>10</v>
      </c>
      <c r="S841" t="s">
        <v>6176</v>
      </c>
      <c r="T841" t="s">
        <v>6177</v>
      </c>
      <c r="U841" t="s">
        <v>42</v>
      </c>
      <c r="V841" t="s">
        <v>6178</v>
      </c>
      <c r="X841" t="s">
        <v>6180</v>
      </c>
      <c r="Y841" t="b">
        <f t="shared" si="13"/>
        <v>0</v>
      </c>
    </row>
    <row r="842" spans="1:25" hidden="1">
      <c r="A842" s="11" t="s">
        <v>9939</v>
      </c>
      <c r="B842" t="s">
        <v>16</v>
      </c>
      <c r="C842" s="2" t="s">
        <v>8353</v>
      </c>
      <c r="D842" t="s">
        <v>6182</v>
      </c>
      <c r="E842" t="s">
        <v>6181</v>
      </c>
      <c r="H842" t="s">
        <v>6186</v>
      </c>
      <c r="K842" t="s">
        <v>40</v>
      </c>
      <c r="M842" t="str">
        <f>"15571912"</f>
        <v>15571912</v>
      </c>
      <c r="N842" s="2" t="str">
        <f>"20160601"</f>
        <v>20160601</v>
      </c>
      <c r="O842">
        <v>18</v>
      </c>
      <c r="P842">
        <v>3</v>
      </c>
      <c r="Q842">
        <v>644</v>
      </c>
      <c r="R842">
        <v>8</v>
      </c>
      <c r="S842" t="s">
        <v>6183</v>
      </c>
      <c r="T842" t="s">
        <v>6184</v>
      </c>
      <c r="U842" t="s">
        <v>42</v>
      </c>
      <c r="V842" t="s">
        <v>6185</v>
      </c>
      <c r="X842" t="s">
        <v>6187</v>
      </c>
      <c r="Y842" t="b">
        <f t="shared" si="13"/>
        <v>1</v>
      </c>
    </row>
    <row r="843" spans="1:25">
      <c r="A843" s="11" t="s">
        <v>9939</v>
      </c>
      <c r="B843" t="s">
        <v>16</v>
      </c>
      <c r="C843" s="2" t="s">
        <v>8349</v>
      </c>
      <c r="D843" t="s">
        <v>6189</v>
      </c>
      <c r="E843" t="s">
        <v>6188</v>
      </c>
      <c r="F843" s="21">
        <v>1</v>
      </c>
      <c r="H843" t="s">
        <v>6193</v>
      </c>
      <c r="I843">
        <v>1</v>
      </c>
      <c r="K843" t="s">
        <v>4665</v>
      </c>
      <c r="M843" t="str">
        <f>"00224405"</f>
        <v>00224405</v>
      </c>
      <c r="N843" s="2" t="str">
        <f>"20190801"</f>
        <v>20190801</v>
      </c>
      <c r="O843">
        <v>75</v>
      </c>
      <c r="Q843">
        <v>104</v>
      </c>
      <c r="R843">
        <v>15</v>
      </c>
      <c r="S843" t="s">
        <v>6190</v>
      </c>
      <c r="T843" t="s">
        <v>6191</v>
      </c>
      <c r="U843" t="s">
        <v>34</v>
      </c>
      <c r="V843" t="s">
        <v>6192</v>
      </c>
      <c r="X843" t="s">
        <v>6194</v>
      </c>
      <c r="Y843" t="b">
        <f t="shared" si="13"/>
        <v>0</v>
      </c>
    </row>
    <row r="844" spans="1:25" hidden="1">
      <c r="A844" s="11" t="s">
        <v>9939</v>
      </c>
      <c r="B844" t="s">
        <v>16</v>
      </c>
      <c r="C844" s="2" t="s">
        <v>8349</v>
      </c>
      <c r="D844" t="s">
        <v>6196</v>
      </c>
      <c r="E844" t="s">
        <v>6195</v>
      </c>
      <c r="H844" t="s">
        <v>6200</v>
      </c>
      <c r="K844" t="s">
        <v>4665</v>
      </c>
      <c r="M844" t="str">
        <f>"00224405"</f>
        <v>00224405</v>
      </c>
      <c r="N844" s="2" t="str">
        <f>"20190201"</f>
        <v>20190201</v>
      </c>
      <c r="O844">
        <v>72</v>
      </c>
      <c r="Q844">
        <v>14</v>
      </c>
      <c r="R844">
        <v>15</v>
      </c>
      <c r="S844" t="s">
        <v>6197</v>
      </c>
      <c r="T844" t="s">
        <v>6198</v>
      </c>
      <c r="U844" t="s">
        <v>34</v>
      </c>
      <c r="V844" t="s">
        <v>6199</v>
      </c>
      <c r="X844" t="s">
        <v>6201</v>
      </c>
      <c r="Y844" t="b">
        <f t="shared" si="13"/>
        <v>1</v>
      </c>
    </row>
    <row r="845" spans="1:25" hidden="1">
      <c r="A845" s="11" t="s">
        <v>9939</v>
      </c>
      <c r="B845" t="s">
        <v>16</v>
      </c>
      <c r="C845" s="2" t="s">
        <v>8339</v>
      </c>
      <c r="D845" t="s">
        <v>6203</v>
      </c>
      <c r="E845" t="s">
        <v>6202</v>
      </c>
      <c r="F845" s="20">
        <v>0</v>
      </c>
      <c r="G845" t="s">
        <v>9249</v>
      </c>
      <c r="H845" t="s">
        <v>6208</v>
      </c>
      <c r="K845" t="s">
        <v>6204</v>
      </c>
      <c r="M845" t="str">
        <f>"21592020"</f>
        <v>21592020</v>
      </c>
      <c r="N845" s="2" t="str">
        <f>"20150901"</f>
        <v>20150901</v>
      </c>
      <c r="O845">
        <v>19</v>
      </c>
      <c r="P845">
        <v>3</v>
      </c>
      <c r="Q845">
        <v>205</v>
      </c>
      <c r="R845">
        <v>13</v>
      </c>
      <c r="S845" t="s">
        <v>6205</v>
      </c>
      <c r="T845" t="s">
        <v>6206</v>
      </c>
      <c r="U845" t="s">
        <v>42</v>
      </c>
      <c r="V845" t="s">
        <v>6207</v>
      </c>
      <c r="X845" t="s">
        <v>6209</v>
      </c>
      <c r="Y845" t="b">
        <f t="shared" si="13"/>
        <v>0</v>
      </c>
    </row>
    <row r="846" spans="1:25">
      <c r="A846" s="11" t="s">
        <v>9939</v>
      </c>
      <c r="B846" t="s">
        <v>16</v>
      </c>
      <c r="C846" s="2" t="s">
        <v>8341</v>
      </c>
      <c r="D846" t="s">
        <v>6211</v>
      </c>
      <c r="E846" t="s">
        <v>6210</v>
      </c>
      <c r="F846" s="21">
        <v>1</v>
      </c>
      <c r="H846" t="s">
        <v>6216</v>
      </c>
      <c r="I846">
        <v>0</v>
      </c>
      <c r="J846" t="s">
        <v>9265</v>
      </c>
      <c r="K846" t="s">
        <v>6212</v>
      </c>
      <c r="M846" t="str">
        <f>"00380407"</f>
        <v>00380407</v>
      </c>
      <c r="N846" s="2" t="str">
        <f>"20090701"</f>
        <v>20090701</v>
      </c>
      <c r="O846">
        <v>82</v>
      </c>
      <c r="P846">
        <v>3</v>
      </c>
      <c r="Q846">
        <v>217</v>
      </c>
      <c r="R846">
        <v>23</v>
      </c>
      <c r="S846" t="s">
        <v>6213</v>
      </c>
      <c r="T846" t="s">
        <v>6214</v>
      </c>
      <c r="U846" t="s">
        <v>1681</v>
      </c>
      <c r="V846" t="s">
        <v>6215</v>
      </c>
      <c r="X846" t="s">
        <v>6217</v>
      </c>
      <c r="Y846" t="b">
        <f t="shared" si="13"/>
        <v>0</v>
      </c>
    </row>
    <row r="847" spans="1:25">
      <c r="A847" s="11" t="s">
        <v>9939</v>
      </c>
      <c r="B847" t="s">
        <v>69</v>
      </c>
      <c r="C847" s="2" t="s">
        <v>8346</v>
      </c>
      <c r="D847" t="s">
        <v>6219</v>
      </c>
      <c r="E847" t="s">
        <v>6218</v>
      </c>
      <c r="F847" s="21">
        <v>1</v>
      </c>
      <c r="H847" t="s">
        <v>6222</v>
      </c>
      <c r="I847">
        <v>0</v>
      </c>
      <c r="J847" t="s">
        <v>9249</v>
      </c>
      <c r="K847" t="s">
        <v>65</v>
      </c>
      <c r="L847" t="str">
        <f>"9781124220338"</f>
        <v>9781124220338</v>
      </c>
      <c r="M847" t="str">
        <f>"04194209"</f>
        <v>04194209</v>
      </c>
      <c r="N847" s="2" t="str">
        <f>"20110101"</f>
        <v>20110101</v>
      </c>
      <c r="O847">
        <v>71</v>
      </c>
      <c r="P847" t="s">
        <v>627</v>
      </c>
      <c r="Q847">
        <v>3496</v>
      </c>
      <c r="R847">
        <v>1</v>
      </c>
      <c r="S847" t="s">
        <v>6220</v>
      </c>
      <c r="U847" t="s">
        <v>68</v>
      </c>
      <c r="V847" t="s">
        <v>6221</v>
      </c>
      <c r="X847" t="s">
        <v>6223</v>
      </c>
      <c r="Y847" t="b">
        <f t="shared" si="13"/>
        <v>0</v>
      </c>
    </row>
    <row r="848" spans="1:25" hidden="1">
      <c r="A848" s="11" t="s">
        <v>9939</v>
      </c>
      <c r="B848" t="s">
        <v>16</v>
      </c>
      <c r="C848" s="2" t="s">
        <v>8344</v>
      </c>
      <c r="D848" t="s">
        <v>6225</v>
      </c>
      <c r="E848" t="s">
        <v>6224</v>
      </c>
      <c r="H848" t="s">
        <v>6229</v>
      </c>
      <c r="K848" t="s">
        <v>664</v>
      </c>
      <c r="M848" t="str">
        <f>"00332941"</f>
        <v>00332941</v>
      </c>
      <c r="N848" s="2" t="str">
        <f>"20100401"</f>
        <v>20100401</v>
      </c>
      <c r="O848">
        <v>106</v>
      </c>
      <c r="P848">
        <v>2</v>
      </c>
      <c r="Q848">
        <v>419</v>
      </c>
      <c r="R848">
        <v>14</v>
      </c>
      <c r="S848" t="s">
        <v>6226</v>
      </c>
      <c r="T848" t="s">
        <v>6227</v>
      </c>
      <c r="U848" t="s">
        <v>664</v>
      </c>
      <c r="V848" t="s">
        <v>6228</v>
      </c>
      <c r="X848" t="s">
        <v>6230</v>
      </c>
      <c r="Y848" t="b">
        <f t="shared" si="13"/>
        <v>1</v>
      </c>
    </row>
    <row r="849" spans="1:25" hidden="1">
      <c r="A849" s="11" t="s">
        <v>9939</v>
      </c>
      <c r="B849" t="s">
        <v>16</v>
      </c>
      <c r="C849" s="2" t="s">
        <v>8349</v>
      </c>
      <c r="D849" t="s">
        <v>6232</v>
      </c>
      <c r="E849" t="s">
        <v>6231</v>
      </c>
      <c r="F849" s="20">
        <v>0</v>
      </c>
      <c r="G849" t="s">
        <v>9178</v>
      </c>
      <c r="H849" t="s">
        <v>6236</v>
      </c>
      <c r="K849" t="s">
        <v>5824</v>
      </c>
      <c r="M849" t="str">
        <f>"0010440X"</f>
        <v>0010440X</v>
      </c>
      <c r="N849" s="2" t="str">
        <f>"20190401"</f>
        <v>20190401</v>
      </c>
      <c r="O849">
        <v>90</v>
      </c>
      <c r="Q849">
        <v>73</v>
      </c>
      <c r="R849">
        <v>9</v>
      </c>
      <c r="S849" t="s">
        <v>6233</v>
      </c>
      <c r="T849" t="s">
        <v>6234</v>
      </c>
      <c r="U849" t="s">
        <v>34</v>
      </c>
      <c r="V849" t="s">
        <v>6235</v>
      </c>
      <c r="X849" t="s">
        <v>6237</v>
      </c>
      <c r="Y849" t="b">
        <f t="shared" si="13"/>
        <v>0</v>
      </c>
    </row>
    <row r="850" spans="1:25">
      <c r="A850" s="11" t="s">
        <v>9939</v>
      </c>
      <c r="B850" t="s">
        <v>16</v>
      </c>
      <c r="C850" s="2" t="s">
        <v>8334</v>
      </c>
      <c r="D850" t="s">
        <v>6239</v>
      </c>
      <c r="E850" t="s">
        <v>6238</v>
      </c>
      <c r="F850" s="21">
        <v>1</v>
      </c>
      <c r="H850" t="s">
        <v>6243</v>
      </c>
      <c r="I850">
        <v>1</v>
      </c>
      <c r="K850" t="s">
        <v>4786</v>
      </c>
      <c r="M850" t="str">
        <f>"09542892"</f>
        <v>09542892</v>
      </c>
      <c r="N850" s="2" t="str">
        <f>"20140901"</f>
        <v>20140901</v>
      </c>
      <c r="O850">
        <v>26</v>
      </c>
      <c r="P850">
        <v>3</v>
      </c>
      <c r="Q850">
        <v>323</v>
      </c>
      <c r="R850">
        <v>19</v>
      </c>
      <c r="S850" t="s">
        <v>6240</v>
      </c>
      <c r="T850" t="s">
        <v>6241</v>
      </c>
      <c r="U850" t="s">
        <v>675</v>
      </c>
      <c r="V850" t="s">
        <v>6242</v>
      </c>
      <c r="X850" t="s">
        <v>6244</v>
      </c>
      <c r="Y850" t="b">
        <f t="shared" si="13"/>
        <v>0</v>
      </c>
    </row>
    <row r="851" spans="1:25" hidden="1">
      <c r="A851" s="11" t="s">
        <v>9939</v>
      </c>
      <c r="B851" t="s">
        <v>16</v>
      </c>
      <c r="C851" s="2" t="s">
        <v>8343</v>
      </c>
      <c r="D851" t="s">
        <v>6246</v>
      </c>
      <c r="E851" t="s">
        <v>6245</v>
      </c>
      <c r="H851" t="s">
        <v>6250</v>
      </c>
      <c r="K851" t="s">
        <v>1556</v>
      </c>
      <c r="M851" t="str">
        <f>"13670050"</f>
        <v>13670050</v>
      </c>
      <c r="N851" s="2" t="str">
        <f>"20171101"</f>
        <v>20171101</v>
      </c>
      <c r="O851">
        <v>20</v>
      </c>
      <c r="P851">
        <v>7</v>
      </c>
      <c r="Q851">
        <v>759</v>
      </c>
      <c r="R851">
        <v>14</v>
      </c>
      <c r="S851" t="s">
        <v>6247</v>
      </c>
      <c r="T851" t="s">
        <v>6248</v>
      </c>
      <c r="U851" t="s">
        <v>87</v>
      </c>
      <c r="V851" t="s">
        <v>6249</v>
      </c>
      <c r="X851" t="s">
        <v>6251</v>
      </c>
      <c r="Y851" t="b">
        <f t="shared" si="13"/>
        <v>1</v>
      </c>
    </row>
    <row r="852" spans="1:25" hidden="1">
      <c r="A852" s="11" t="s">
        <v>9939</v>
      </c>
      <c r="B852" t="s">
        <v>16</v>
      </c>
      <c r="C852" s="2" t="s">
        <v>8339</v>
      </c>
      <c r="D852" t="s">
        <v>6253</v>
      </c>
      <c r="E852" t="s">
        <v>6252</v>
      </c>
      <c r="H852" t="s">
        <v>6257</v>
      </c>
      <c r="K852" t="s">
        <v>551</v>
      </c>
      <c r="M852" t="str">
        <f>"16641078"</f>
        <v>16641078</v>
      </c>
      <c r="N852" s="2" t="str">
        <f>"20150804"</f>
        <v>20150804</v>
      </c>
      <c r="O852">
        <v>6</v>
      </c>
      <c r="S852" t="s">
        <v>6254</v>
      </c>
      <c r="T852" t="s">
        <v>6255</v>
      </c>
      <c r="U852" t="s">
        <v>554</v>
      </c>
      <c r="V852" t="s">
        <v>6256</v>
      </c>
      <c r="X852" t="s">
        <v>6258</v>
      </c>
      <c r="Y852" t="b">
        <f t="shared" si="13"/>
        <v>1</v>
      </c>
    </row>
    <row r="853" spans="1:25">
      <c r="A853" s="11" t="s">
        <v>9939</v>
      </c>
      <c r="B853" t="s">
        <v>16</v>
      </c>
      <c r="C853" s="2" t="s">
        <v>8343</v>
      </c>
      <c r="D853" t="s">
        <v>6260</v>
      </c>
      <c r="E853" t="s">
        <v>6259</v>
      </c>
      <c r="F853" s="21">
        <v>1</v>
      </c>
      <c r="H853" t="s">
        <v>6264</v>
      </c>
      <c r="I853">
        <v>1</v>
      </c>
      <c r="K853" t="s">
        <v>40</v>
      </c>
      <c r="M853" t="str">
        <f>"15571912"</f>
        <v>15571912</v>
      </c>
      <c r="N853" s="2" t="str">
        <f>"20171001"</f>
        <v>20171001</v>
      </c>
      <c r="O853">
        <v>19</v>
      </c>
      <c r="P853">
        <v>5</v>
      </c>
      <c r="Q853">
        <v>1163</v>
      </c>
      <c r="R853">
        <v>11</v>
      </c>
      <c r="S853" t="s">
        <v>6261</v>
      </c>
      <c r="T853" t="s">
        <v>6262</v>
      </c>
      <c r="U853" t="s">
        <v>42</v>
      </c>
      <c r="V853" t="s">
        <v>6263</v>
      </c>
      <c r="X853" t="s">
        <v>6265</v>
      </c>
      <c r="Y853" t="b">
        <f t="shared" si="13"/>
        <v>0</v>
      </c>
    </row>
    <row r="854" spans="1:25">
      <c r="A854" s="11" t="s">
        <v>9939</v>
      </c>
      <c r="B854" t="s">
        <v>16</v>
      </c>
      <c r="C854" s="2" t="s">
        <v>8353</v>
      </c>
      <c r="D854" t="s">
        <v>6267</v>
      </c>
      <c r="E854" t="s">
        <v>6266</v>
      </c>
      <c r="F854" s="21">
        <v>1</v>
      </c>
      <c r="H854" t="s">
        <v>6271</v>
      </c>
      <c r="I854">
        <v>1</v>
      </c>
      <c r="K854" t="s">
        <v>140</v>
      </c>
      <c r="M854" t="str">
        <f>"02779536"</f>
        <v>02779536</v>
      </c>
      <c r="N854" s="2" t="str">
        <f>"20160101"</f>
        <v>20160101</v>
      </c>
      <c r="O854">
        <v>149</v>
      </c>
      <c r="Q854">
        <v>114</v>
      </c>
      <c r="R854">
        <v>8</v>
      </c>
      <c r="S854" t="s">
        <v>6268</v>
      </c>
      <c r="T854" t="s">
        <v>6269</v>
      </c>
      <c r="U854" t="s">
        <v>34</v>
      </c>
      <c r="V854" t="s">
        <v>6270</v>
      </c>
      <c r="X854" t="s">
        <v>6272</v>
      </c>
      <c r="Y854" t="b">
        <f t="shared" si="13"/>
        <v>0</v>
      </c>
    </row>
    <row r="855" spans="1:25" hidden="1">
      <c r="A855" s="11" t="s">
        <v>9939</v>
      </c>
      <c r="B855" t="s">
        <v>16</v>
      </c>
      <c r="C855" s="2" t="s">
        <v>8334</v>
      </c>
      <c r="D855" t="s">
        <v>6274</v>
      </c>
      <c r="E855" t="s">
        <v>6273</v>
      </c>
      <c r="H855" t="s">
        <v>6278</v>
      </c>
      <c r="K855" t="s">
        <v>132</v>
      </c>
      <c r="M855" t="str">
        <f>"01471767"</f>
        <v>01471767</v>
      </c>
      <c r="N855" s="2" t="str">
        <f>"20140501"</f>
        <v>20140501</v>
      </c>
      <c r="O855">
        <v>40</v>
      </c>
      <c r="Q855">
        <v>154</v>
      </c>
      <c r="R855">
        <v>13</v>
      </c>
      <c r="S855" t="s">
        <v>6275</v>
      </c>
      <c r="T855" t="s">
        <v>6276</v>
      </c>
      <c r="U855" t="s">
        <v>34</v>
      </c>
      <c r="V855" t="s">
        <v>6277</v>
      </c>
      <c r="X855" t="s">
        <v>6279</v>
      </c>
      <c r="Y855" t="b">
        <f t="shared" si="13"/>
        <v>1</v>
      </c>
    </row>
    <row r="856" spans="1:25" hidden="1">
      <c r="A856" s="11" t="s">
        <v>9939</v>
      </c>
      <c r="B856" t="s">
        <v>16</v>
      </c>
      <c r="C856" s="2" t="s">
        <v>8336</v>
      </c>
      <c r="D856" t="s">
        <v>6281</v>
      </c>
      <c r="E856" t="s">
        <v>6280</v>
      </c>
      <c r="F856" s="20">
        <v>0</v>
      </c>
      <c r="G856" t="s">
        <v>9178</v>
      </c>
      <c r="H856" t="s">
        <v>6285</v>
      </c>
      <c r="K856" t="s">
        <v>260</v>
      </c>
      <c r="M856" t="str">
        <f>"07399332"</f>
        <v>07399332</v>
      </c>
      <c r="N856" s="2" t="str">
        <f>"20070101"</f>
        <v>20070101</v>
      </c>
      <c r="O856">
        <v>28</v>
      </c>
      <c r="P856">
        <v>4</v>
      </c>
      <c r="Q856">
        <v>329</v>
      </c>
      <c r="R856">
        <v>10</v>
      </c>
      <c r="S856" t="s">
        <v>6282</v>
      </c>
      <c r="T856" t="s">
        <v>6283</v>
      </c>
      <c r="U856" t="s">
        <v>87</v>
      </c>
      <c r="V856" t="s">
        <v>6284</v>
      </c>
      <c r="X856" t="s">
        <v>6286</v>
      </c>
      <c r="Y856" t="b">
        <f t="shared" si="13"/>
        <v>0</v>
      </c>
    </row>
    <row r="857" spans="1:25" hidden="1">
      <c r="A857" s="11" t="s">
        <v>9939</v>
      </c>
      <c r="B857" t="s">
        <v>16</v>
      </c>
      <c r="C857" s="2" t="s">
        <v>8338</v>
      </c>
      <c r="D857" t="s">
        <v>6288</v>
      </c>
      <c r="E857" t="s">
        <v>6287</v>
      </c>
      <c r="H857" t="s">
        <v>6292</v>
      </c>
      <c r="K857" t="s">
        <v>132</v>
      </c>
      <c r="M857" t="str">
        <f>"01471767"</f>
        <v>01471767</v>
      </c>
      <c r="N857" s="2" t="str">
        <f>"20060301"</f>
        <v>20060301</v>
      </c>
      <c r="O857">
        <v>30</v>
      </c>
      <c r="P857">
        <v>2</v>
      </c>
      <c r="Q857">
        <v>141</v>
      </c>
      <c r="R857">
        <v>17</v>
      </c>
      <c r="S857" t="s">
        <v>6289</v>
      </c>
      <c r="T857" t="s">
        <v>6290</v>
      </c>
      <c r="U857" t="s">
        <v>34</v>
      </c>
      <c r="V857" t="s">
        <v>6291</v>
      </c>
      <c r="X857" t="s">
        <v>6293</v>
      </c>
      <c r="Y857" t="b">
        <f t="shared" si="13"/>
        <v>1</v>
      </c>
    </row>
    <row r="858" spans="1:25" hidden="1">
      <c r="A858" s="11" t="s">
        <v>9939</v>
      </c>
      <c r="B858" t="s">
        <v>69</v>
      </c>
      <c r="C858" s="2" t="s">
        <v>8336</v>
      </c>
      <c r="D858" t="s">
        <v>6295</v>
      </c>
      <c r="E858" t="s">
        <v>6294</v>
      </c>
      <c r="F858" s="20">
        <v>0</v>
      </c>
      <c r="G858" t="s">
        <v>9237</v>
      </c>
      <c r="H858" t="s">
        <v>6298</v>
      </c>
      <c r="K858" t="s">
        <v>65</v>
      </c>
      <c r="M858" t="str">
        <f>"04194209"</f>
        <v>04194209</v>
      </c>
      <c r="N858" s="2" t="str">
        <f>"20070101"</f>
        <v>20070101</v>
      </c>
      <c r="O858">
        <v>68</v>
      </c>
      <c r="P858" t="s">
        <v>3183</v>
      </c>
      <c r="Q858">
        <v>874</v>
      </c>
      <c r="R858">
        <v>1</v>
      </c>
      <c r="S858" t="s">
        <v>6296</v>
      </c>
      <c r="U858" t="s">
        <v>68</v>
      </c>
      <c r="V858" t="s">
        <v>6297</v>
      </c>
      <c r="X858" t="s">
        <v>6299</v>
      </c>
      <c r="Y858" t="b">
        <f t="shared" si="13"/>
        <v>0</v>
      </c>
    </row>
    <row r="859" spans="1:25" hidden="1">
      <c r="A859" s="11" t="s">
        <v>9939</v>
      </c>
      <c r="B859" t="s">
        <v>16</v>
      </c>
      <c r="C859" s="2" t="s">
        <v>8338</v>
      </c>
      <c r="D859" t="s">
        <v>6301</v>
      </c>
      <c r="E859" t="s">
        <v>6300</v>
      </c>
      <c r="F859" s="20">
        <v>0</v>
      </c>
      <c r="G859" t="s">
        <v>9178</v>
      </c>
      <c r="H859" t="s">
        <v>6305</v>
      </c>
      <c r="K859" t="s">
        <v>470</v>
      </c>
      <c r="M859" t="str">
        <f>"00029432"</f>
        <v>00029432</v>
      </c>
      <c r="N859" s="2" t="str">
        <f>"20061001"</f>
        <v>20061001</v>
      </c>
      <c r="O859">
        <v>76</v>
      </c>
      <c r="P859">
        <v>4</v>
      </c>
      <c r="Q859">
        <v>512</v>
      </c>
      <c r="R859">
        <v>6</v>
      </c>
      <c r="S859" t="s">
        <v>6302</v>
      </c>
      <c r="T859" t="s">
        <v>6303</v>
      </c>
      <c r="U859" t="s">
        <v>183</v>
      </c>
      <c r="V859" t="s">
        <v>6304</v>
      </c>
      <c r="X859" t="s">
        <v>6306</v>
      </c>
      <c r="Y859" t="b">
        <f t="shared" si="13"/>
        <v>0</v>
      </c>
    </row>
    <row r="860" spans="1:25">
      <c r="A860" s="11" t="s">
        <v>9939</v>
      </c>
      <c r="B860" t="s">
        <v>16</v>
      </c>
      <c r="C860" s="2" t="s">
        <v>8336</v>
      </c>
      <c r="D860" t="s">
        <v>6308</v>
      </c>
      <c r="E860" t="s">
        <v>6307</v>
      </c>
      <c r="F860" s="21">
        <v>1</v>
      </c>
      <c r="H860" t="s">
        <v>6312</v>
      </c>
      <c r="I860">
        <v>1</v>
      </c>
      <c r="K860" t="s">
        <v>237</v>
      </c>
      <c r="M860" t="str">
        <f>"10778012"</f>
        <v>10778012</v>
      </c>
      <c r="N860" s="2" t="str">
        <f>"20070501"</f>
        <v>20070501</v>
      </c>
      <c r="O860">
        <v>13</v>
      </c>
      <c r="P860">
        <v>5</v>
      </c>
      <c r="Q860">
        <v>498</v>
      </c>
      <c r="R860">
        <v>16</v>
      </c>
      <c r="S860" t="s">
        <v>6309</v>
      </c>
      <c r="T860" t="s">
        <v>6310</v>
      </c>
      <c r="U860" t="s">
        <v>15</v>
      </c>
      <c r="V860" t="s">
        <v>6311</v>
      </c>
      <c r="X860" t="s">
        <v>6313</v>
      </c>
      <c r="Y860" t="b">
        <f t="shared" si="13"/>
        <v>0</v>
      </c>
    </row>
    <row r="861" spans="1:25">
      <c r="A861" s="11" t="s">
        <v>9939</v>
      </c>
      <c r="B861" t="s">
        <v>16</v>
      </c>
      <c r="C861" s="2" t="s">
        <v>8341</v>
      </c>
      <c r="D861" t="s">
        <v>6315</v>
      </c>
      <c r="E861" t="s">
        <v>6314</v>
      </c>
      <c r="F861" s="21">
        <v>1</v>
      </c>
      <c r="H861" t="s">
        <v>6320</v>
      </c>
      <c r="I861">
        <v>1</v>
      </c>
      <c r="K861" t="s">
        <v>6316</v>
      </c>
      <c r="M861" t="str">
        <f>"17439760"</f>
        <v>17439760</v>
      </c>
      <c r="N861" s="2" t="str">
        <f>"20090701"</f>
        <v>20090701</v>
      </c>
      <c r="O861">
        <v>4</v>
      </c>
      <c r="P861">
        <v>4</v>
      </c>
      <c r="Q861">
        <v>280</v>
      </c>
      <c r="R861">
        <v>10</v>
      </c>
      <c r="S861" t="s">
        <v>6317</v>
      </c>
      <c r="T861" t="s">
        <v>6318</v>
      </c>
      <c r="U861" t="s">
        <v>87</v>
      </c>
      <c r="V861" t="s">
        <v>6319</v>
      </c>
      <c r="X861" t="s">
        <v>6321</v>
      </c>
      <c r="Y861" t="b">
        <f t="shared" si="13"/>
        <v>0</v>
      </c>
    </row>
    <row r="862" spans="1:25" hidden="1">
      <c r="A862" s="11" t="s">
        <v>9939</v>
      </c>
      <c r="B862" t="s">
        <v>16</v>
      </c>
      <c r="C862" s="2" t="s">
        <v>8337</v>
      </c>
      <c r="D862" t="s">
        <v>6323</v>
      </c>
      <c r="E862" t="s">
        <v>6322</v>
      </c>
      <c r="F862" s="20">
        <v>0</v>
      </c>
      <c r="G862" t="s">
        <v>9178</v>
      </c>
      <c r="H862" t="s">
        <v>6328</v>
      </c>
      <c r="K862" t="s">
        <v>6324</v>
      </c>
      <c r="M862" t="str">
        <f>"07383991"</f>
        <v>07383991</v>
      </c>
      <c r="N862" s="2" t="str">
        <f>"20130801"</f>
        <v>20130801</v>
      </c>
      <c r="O862">
        <v>92</v>
      </c>
      <c r="P862">
        <v>2</v>
      </c>
      <c r="Q862">
        <v>246</v>
      </c>
      <c r="R862">
        <v>7</v>
      </c>
      <c r="S862" t="s">
        <v>6325</v>
      </c>
      <c r="T862" t="s">
        <v>6326</v>
      </c>
      <c r="U862" t="s">
        <v>34</v>
      </c>
      <c r="V862" t="s">
        <v>6327</v>
      </c>
      <c r="X862" t="s">
        <v>6329</v>
      </c>
      <c r="Y862" t="b">
        <f t="shared" si="13"/>
        <v>0</v>
      </c>
    </row>
    <row r="863" spans="1:25" hidden="1">
      <c r="A863" s="11" t="s">
        <v>9939</v>
      </c>
      <c r="B863" t="s">
        <v>69</v>
      </c>
      <c r="C863" s="2" t="s">
        <v>8342</v>
      </c>
      <c r="D863" t="s">
        <v>6331</v>
      </c>
      <c r="E863" t="s">
        <v>6330</v>
      </c>
      <c r="H863" t="s">
        <v>6334</v>
      </c>
      <c r="K863" t="s">
        <v>101</v>
      </c>
      <c r="L863" t="str">
        <f>"9780494779699"</f>
        <v>9780494779699</v>
      </c>
      <c r="M863" t="str">
        <f>"04194217"</f>
        <v>04194217</v>
      </c>
      <c r="N863" s="2" t="str">
        <f>"20120101"</f>
        <v>20120101</v>
      </c>
      <c r="O863">
        <v>73</v>
      </c>
      <c r="P863" t="s">
        <v>3486</v>
      </c>
      <c r="Q863">
        <v>2564</v>
      </c>
      <c r="R863">
        <v>1</v>
      </c>
      <c r="S863" t="s">
        <v>6332</v>
      </c>
      <c r="U863" t="s">
        <v>68</v>
      </c>
      <c r="V863" t="s">
        <v>6333</v>
      </c>
      <c r="X863" t="s">
        <v>6335</v>
      </c>
      <c r="Y863" t="b">
        <f t="shared" si="13"/>
        <v>1</v>
      </c>
    </row>
    <row r="864" spans="1:25" hidden="1">
      <c r="A864" s="11" t="s">
        <v>9939</v>
      </c>
      <c r="B864" t="s">
        <v>69</v>
      </c>
      <c r="C864" s="2" t="s">
        <v>8340</v>
      </c>
      <c r="D864" t="s">
        <v>6337</v>
      </c>
      <c r="E864" t="s">
        <v>6336</v>
      </c>
      <c r="F864" s="20">
        <v>0</v>
      </c>
      <c r="G864" t="s">
        <v>9249</v>
      </c>
      <c r="H864" t="s">
        <v>6341</v>
      </c>
      <c r="K864" t="s">
        <v>65</v>
      </c>
      <c r="L864" t="str">
        <f>"9780355027082"</f>
        <v>9780355027082</v>
      </c>
      <c r="M864" t="str">
        <f>"04194209"</f>
        <v>04194209</v>
      </c>
      <c r="N864" s="2" t="str">
        <f>"20180101"</f>
        <v>20180101</v>
      </c>
      <c r="O864">
        <v>78</v>
      </c>
      <c r="P864" t="s">
        <v>6338</v>
      </c>
      <c r="S864" t="s">
        <v>6339</v>
      </c>
      <c r="U864" t="s">
        <v>68</v>
      </c>
      <c r="V864" t="s">
        <v>6340</v>
      </c>
      <c r="X864" t="s">
        <v>6342</v>
      </c>
      <c r="Y864" t="b">
        <f t="shared" si="13"/>
        <v>0</v>
      </c>
    </row>
    <row r="865" spans="1:25">
      <c r="A865" s="11" t="s">
        <v>9939</v>
      </c>
      <c r="B865" t="s">
        <v>16</v>
      </c>
      <c r="C865" s="2" t="s">
        <v>8339</v>
      </c>
      <c r="D865" t="s">
        <v>6344</v>
      </c>
      <c r="E865" t="s">
        <v>6343</v>
      </c>
      <c r="F865" s="21">
        <v>1</v>
      </c>
      <c r="H865" t="s">
        <v>6348</v>
      </c>
      <c r="I865">
        <v>1</v>
      </c>
      <c r="K865" t="s">
        <v>3175</v>
      </c>
      <c r="M865" t="str">
        <f>"14622203"</f>
        <v>14622203</v>
      </c>
      <c r="N865" s="2" t="str">
        <f>"20150601"</f>
        <v>20150601</v>
      </c>
      <c r="O865">
        <v>17</v>
      </c>
      <c r="P865">
        <v>6</v>
      </c>
      <c r="Q865">
        <v>643</v>
      </c>
      <c r="R865">
        <v>10</v>
      </c>
      <c r="S865" t="s">
        <v>6345</v>
      </c>
      <c r="T865" t="s">
        <v>6346</v>
      </c>
      <c r="U865" t="s">
        <v>675</v>
      </c>
      <c r="V865" t="s">
        <v>6347</v>
      </c>
      <c r="X865" t="s">
        <v>6349</v>
      </c>
      <c r="Y865" t="b">
        <f t="shared" si="13"/>
        <v>0</v>
      </c>
    </row>
    <row r="866" spans="1:25">
      <c r="A866" s="11" t="s">
        <v>9939</v>
      </c>
      <c r="B866" t="s">
        <v>16</v>
      </c>
      <c r="C866" s="2" t="s">
        <v>8346</v>
      </c>
      <c r="D866" t="s">
        <v>4679</v>
      </c>
      <c r="E866" t="s">
        <v>6350</v>
      </c>
      <c r="F866" s="21">
        <v>1</v>
      </c>
      <c r="H866" t="s">
        <v>6354</v>
      </c>
      <c r="I866">
        <v>1</v>
      </c>
      <c r="K866" t="s">
        <v>5046</v>
      </c>
      <c r="M866" t="str">
        <f>"08982643"</f>
        <v>08982643</v>
      </c>
      <c r="N866" s="2" t="str">
        <f>"20110801"</f>
        <v>20110801</v>
      </c>
      <c r="O866">
        <v>23</v>
      </c>
      <c r="P866">
        <v>5</v>
      </c>
      <c r="Q866">
        <v>767</v>
      </c>
      <c r="R866">
        <v>15</v>
      </c>
      <c r="S866" t="s">
        <v>6351</v>
      </c>
      <c r="T866" t="s">
        <v>6352</v>
      </c>
      <c r="U866" t="s">
        <v>15</v>
      </c>
      <c r="V866" t="s">
        <v>6353</v>
      </c>
      <c r="X866" t="s">
        <v>6355</v>
      </c>
      <c r="Y866" t="b">
        <f t="shared" si="13"/>
        <v>0</v>
      </c>
    </row>
    <row r="867" spans="1:25">
      <c r="A867" s="11" t="s">
        <v>9939</v>
      </c>
      <c r="B867" t="s">
        <v>16</v>
      </c>
      <c r="C867" s="2" t="s">
        <v>8344</v>
      </c>
      <c r="D867" t="s">
        <v>6357</v>
      </c>
      <c r="E867" t="s">
        <v>6356</v>
      </c>
      <c r="F867" s="21">
        <v>1</v>
      </c>
      <c r="H867" t="s">
        <v>6361</v>
      </c>
      <c r="I867">
        <v>0</v>
      </c>
      <c r="J867" t="s">
        <v>9249</v>
      </c>
      <c r="K867" t="s">
        <v>189</v>
      </c>
      <c r="M867" t="str">
        <f>"01650254"</f>
        <v>01650254</v>
      </c>
      <c r="N867" s="2" t="str">
        <f>"20100701"</f>
        <v>20100701</v>
      </c>
      <c r="O867">
        <v>34</v>
      </c>
      <c r="P867">
        <v>4</v>
      </c>
      <c r="Q867">
        <v>330</v>
      </c>
      <c r="R867">
        <v>9</v>
      </c>
      <c r="S867" t="s">
        <v>6358</v>
      </c>
      <c r="T867" t="s">
        <v>6359</v>
      </c>
      <c r="U867" t="s">
        <v>15</v>
      </c>
      <c r="V867" t="s">
        <v>6360</v>
      </c>
      <c r="X867" t="s">
        <v>6362</v>
      </c>
      <c r="Y867" t="b">
        <f t="shared" si="13"/>
        <v>0</v>
      </c>
    </row>
    <row r="868" spans="1:25">
      <c r="A868" s="11" t="s">
        <v>9939</v>
      </c>
      <c r="B868" t="s">
        <v>16</v>
      </c>
      <c r="C868" s="2" t="s">
        <v>8347</v>
      </c>
      <c r="D868" t="s">
        <v>6364</v>
      </c>
      <c r="E868" t="s">
        <v>6363</v>
      </c>
      <c r="F868" s="21">
        <v>1</v>
      </c>
      <c r="H868" t="s">
        <v>6368</v>
      </c>
      <c r="I868">
        <v>0</v>
      </c>
      <c r="J868" t="s">
        <v>9249</v>
      </c>
      <c r="K868" t="s">
        <v>132</v>
      </c>
      <c r="M868" t="str">
        <f>"01471767"</f>
        <v>01471767</v>
      </c>
      <c r="N868" s="2" t="str">
        <f>"20080901"</f>
        <v>20080901</v>
      </c>
      <c r="O868">
        <v>32</v>
      </c>
      <c r="P868">
        <v>5</v>
      </c>
      <c r="Q868">
        <v>415</v>
      </c>
      <c r="R868">
        <v>12</v>
      </c>
      <c r="S868" t="s">
        <v>6365</v>
      </c>
      <c r="T868" t="s">
        <v>6366</v>
      </c>
      <c r="U868" t="s">
        <v>34</v>
      </c>
      <c r="V868" t="s">
        <v>6367</v>
      </c>
      <c r="X868" t="s">
        <v>6369</v>
      </c>
      <c r="Y868" t="b">
        <f t="shared" si="13"/>
        <v>0</v>
      </c>
    </row>
    <row r="869" spans="1:25">
      <c r="A869" s="11" t="s">
        <v>9939</v>
      </c>
      <c r="B869" t="s">
        <v>16</v>
      </c>
      <c r="C869" s="2" t="s">
        <v>8343</v>
      </c>
      <c r="D869" t="s">
        <v>6371</v>
      </c>
      <c r="E869" t="s">
        <v>6370</v>
      </c>
      <c r="F869" s="21">
        <v>1</v>
      </c>
      <c r="H869" t="s">
        <v>6376</v>
      </c>
      <c r="I869">
        <v>1</v>
      </c>
      <c r="K869" t="s">
        <v>6372</v>
      </c>
      <c r="M869" t="str">
        <f>"0044118X"</f>
        <v>0044118X</v>
      </c>
      <c r="N869" s="2" t="str">
        <f>"20170901"</f>
        <v>20170901</v>
      </c>
      <c r="O869">
        <v>49</v>
      </c>
      <c r="P869">
        <v>6</v>
      </c>
      <c r="Q869">
        <v>733</v>
      </c>
      <c r="R869">
        <v>22</v>
      </c>
      <c r="S869" t="s">
        <v>6373</v>
      </c>
      <c r="T869" t="s">
        <v>6374</v>
      </c>
      <c r="U869" t="s">
        <v>15</v>
      </c>
      <c r="V869" t="s">
        <v>6375</v>
      </c>
      <c r="X869" t="s">
        <v>6377</v>
      </c>
      <c r="Y869" t="b">
        <f t="shared" si="13"/>
        <v>0</v>
      </c>
    </row>
    <row r="870" spans="1:25" hidden="1">
      <c r="A870" s="11" t="s">
        <v>9939</v>
      </c>
      <c r="B870" t="s">
        <v>16</v>
      </c>
      <c r="C870" s="2" t="s">
        <v>8339</v>
      </c>
      <c r="D870" t="s">
        <v>6379</v>
      </c>
      <c r="E870" t="s">
        <v>6378</v>
      </c>
      <c r="H870" t="s">
        <v>6383</v>
      </c>
      <c r="K870" t="s">
        <v>1160</v>
      </c>
      <c r="M870" t="str">
        <f>"01693816"</f>
        <v>01693816</v>
      </c>
      <c r="N870" s="2" t="str">
        <f>"20150601"</f>
        <v>20150601</v>
      </c>
      <c r="O870">
        <v>30</v>
      </c>
      <c r="P870">
        <v>2</v>
      </c>
      <c r="Q870">
        <v>131</v>
      </c>
      <c r="R870">
        <v>11</v>
      </c>
      <c r="S870" t="s">
        <v>6380</v>
      </c>
      <c r="T870" t="s">
        <v>6381</v>
      </c>
      <c r="U870" t="s">
        <v>42</v>
      </c>
      <c r="V870" t="s">
        <v>6382</v>
      </c>
      <c r="X870" t="s">
        <v>6384</v>
      </c>
      <c r="Y870" t="b">
        <f t="shared" si="13"/>
        <v>1</v>
      </c>
    </row>
    <row r="871" spans="1:25" hidden="1">
      <c r="A871" s="11" t="s">
        <v>9939</v>
      </c>
      <c r="B871" t="s">
        <v>69</v>
      </c>
      <c r="C871" s="2" t="s">
        <v>8342</v>
      </c>
      <c r="D871" t="s">
        <v>6386</v>
      </c>
      <c r="E871" t="s">
        <v>6385</v>
      </c>
      <c r="H871" t="s">
        <v>6389</v>
      </c>
      <c r="K871" t="s">
        <v>65</v>
      </c>
      <c r="L871" t="str">
        <f>"9780494755181"</f>
        <v>9780494755181</v>
      </c>
      <c r="M871" t="str">
        <f>"04194209"</f>
        <v>04194209</v>
      </c>
      <c r="N871" s="2" t="str">
        <f>"20120101"</f>
        <v>20120101</v>
      </c>
      <c r="O871">
        <v>72</v>
      </c>
      <c r="P871" t="s">
        <v>2030</v>
      </c>
      <c r="Q871">
        <v>3502</v>
      </c>
      <c r="R871">
        <v>1</v>
      </c>
      <c r="S871" t="s">
        <v>6387</v>
      </c>
      <c r="U871" t="s">
        <v>68</v>
      </c>
      <c r="V871" t="s">
        <v>6388</v>
      </c>
      <c r="X871" t="s">
        <v>6390</v>
      </c>
      <c r="Y871" t="b">
        <f t="shared" si="13"/>
        <v>1</v>
      </c>
    </row>
    <row r="872" spans="1:25">
      <c r="A872" s="11" t="s">
        <v>9939</v>
      </c>
      <c r="B872" t="s">
        <v>16</v>
      </c>
      <c r="C872" s="2" t="s">
        <v>8334</v>
      </c>
      <c r="D872" t="s">
        <v>6392</v>
      </c>
      <c r="E872" t="s">
        <v>6391</v>
      </c>
      <c r="F872" s="21">
        <v>1</v>
      </c>
      <c r="H872" t="s">
        <v>6397</v>
      </c>
      <c r="I872">
        <v>1</v>
      </c>
      <c r="J872" t="s">
        <v>9952</v>
      </c>
      <c r="K872" t="s">
        <v>6393</v>
      </c>
      <c r="M872" t="str">
        <f>"00453102"</f>
        <v>00453102</v>
      </c>
      <c r="N872" s="2" t="str">
        <f>"20140401"</f>
        <v>20140401</v>
      </c>
      <c r="O872">
        <v>44</v>
      </c>
      <c r="P872">
        <v>3</v>
      </c>
      <c r="Q872">
        <v>694</v>
      </c>
      <c r="R872">
        <v>20</v>
      </c>
      <c r="S872" t="s">
        <v>6394</v>
      </c>
      <c r="T872" t="s">
        <v>6395</v>
      </c>
      <c r="U872" t="s">
        <v>675</v>
      </c>
      <c r="V872" t="s">
        <v>6396</v>
      </c>
      <c r="X872" t="s">
        <v>6398</v>
      </c>
      <c r="Y872" t="b">
        <f t="shared" si="13"/>
        <v>0</v>
      </c>
    </row>
    <row r="873" spans="1:25" hidden="1">
      <c r="A873" s="11" t="s">
        <v>9939</v>
      </c>
      <c r="B873" t="s">
        <v>16</v>
      </c>
      <c r="C873" s="2" t="s">
        <v>8342</v>
      </c>
      <c r="D873" t="s">
        <v>6400</v>
      </c>
      <c r="E873" t="s">
        <v>6399</v>
      </c>
      <c r="F873" s="20">
        <v>0</v>
      </c>
      <c r="G873" t="s">
        <v>9237</v>
      </c>
      <c r="H873" t="s">
        <v>6405</v>
      </c>
      <c r="K873" t="s">
        <v>6401</v>
      </c>
      <c r="M873" t="str">
        <f>"13812890"</f>
        <v>13812890</v>
      </c>
      <c r="N873" s="2" t="str">
        <f>"20120601"</f>
        <v>20120601</v>
      </c>
      <c r="O873">
        <v>15</v>
      </c>
      <c r="P873">
        <v>2</v>
      </c>
      <c r="Q873">
        <v>219</v>
      </c>
      <c r="R873">
        <v>14</v>
      </c>
      <c r="S873" t="s">
        <v>6402</v>
      </c>
      <c r="T873" t="s">
        <v>6403</v>
      </c>
      <c r="U873" t="s">
        <v>42</v>
      </c>
      <c r="V873" t="s">
        <v>6404</v>
      </c>
      <c r="X873" t="s">
        <v>6406</v>
      </c>
      <c r="Y873" t="b">
        <f t="shared" si="13"/>
        <v>0</v>
      </c>
    </row>
    <row r="874" spans="1:25" hidden="1">
      <c r="A874" s="11" t="s">
        <v>9939</v>
      </c>
      <c r="B874" t="s">
        <v>16</v>
      </c>
      <c r="C874" s="2" t="s">
        <v>8344</v>
      </c>
      <c r="D874" t="s">
        <v>6408</v>
      </c>
      <c r="E874" t="s">
        <v>6407</v>
      </c>
      <c r="H874" t="s">
        <v>6411</v>
      </c>
      <c r="K874" t="s">
        <v>314</v>
      </c>
      <c r="M874" t="str">
        <f>"19726325"</f>
        <v>19726325</v>
      </c>
      <c r="N874" s="2" t="str">
        <f>"20100101"</f>
        <v>20100101</v>
      </c>
      <c r="O874">
        <v>17</v>
      </c>
      <c r="P874">
        <v>3</v>
      </c>
      <c r="Q874">
        <v>141</v>
      </c>
      <c r="R874">
        <v>19</v>
      </c>
      <c r="S874" t="s">
        <v>6409</v>
      </c>
      <c r="U874" t="s">
        <v>316</v>
      </c>
      <c r="V874" t="s">
        <v>6410</v>
      </c>
      <c r="X874" t="s">
        <v>6412</v>
      </c>
      <c r="Y874" t="b">
        <f t="shared" si="13"/>
        <v>1</v>
      </c>
    </row>
    <row r="875" spans="1:25">
      <c r="A875" s="11" t="s">
        <v>9939</v>
      </c>
      <c r="B875" t="s">
        <v>395</v>
      </c>
      <c r="C875" s="2" t="s">
        <v>8334</v>
      </c>
      <c r="D875" t="s">
        <v>6414</v>
      </c>
      <c r="E875" t="s">
        <v>6413</v>
      </c>
      <c r="F875" s="21">
        <v>1</v>
      </c>
      <c r="H875" t="s">
        <v>6417</v>
      </c>
      <c r="I875">
        <v>1</v>
      </c>
      <c r="K875" t="s">
        <v>392</v>
      </c>
      <c r="L875" t="str">
        <f>"9781633213470; 9781633213487"</f>
        <v>9781633213470; 9781633213487</v>
      </c>
      <c r="N875" s="2" t="str">
        <f>"20140101"</f>
        <v>20140101</v>
      </c>
      <c r="Q875">
        <v>87</v>
      </c>
      <c r="R875">
        <v>28</v>
      </c>
      <c r="S875" t="s">
        <v>6415</v>
      </c>
      <c r="U875" t="s">
        <v>394</v>
      </c>
      <c r="V875" t="s">
        <v>6416</v>
      </c>
      <c r="X875" t="s">
        <v>6418</v>
      </c>
      <c r="Y875" t="b">
        <f t="shared" si="13"/>
        <v>0</v>
      </c>
    </row>
    <row r="876" spans="1:25">
      <c r="A876" s="11" t="s">
        <v>9939</v>
      </c>
      <c r="B876" t="s">
        <v>16</v>
      </c>
      <c r="C876" s="2" t="s">
        <v>8346</v>
      </c>
      <c r="D876" t="s">
        <v>6420</v>
      </c>
      <c r="E876" t="s">
        <v>6419</v>
      </c>
      <c r="F876" s="21">
        <v>1</v>
      </c>
      <c r="H876" t="s">
        <v>6424</v>
      </c>
      <c r="I876">
        <v>0</v>
      </c>
      <c r="J876" t="s">
        <v>9237</v>
      </c>
      <c r="K876" t="s">
        <v>132</v>
      </c>
      <c r="M876" t="str">
        <f>"01471767"</f>
        <v>01471767</v>
      </c>
      <c r="N876" s="2" t="str">
        <f>"20110701"</f>
        <v>20110701</v>
      </c>
      <c r="O876">
        <v>35</v>
      </c>
      <c r="P876">
        <v>4</v>
      </c>
      <c r="Q876">
        <v>425</v>
      </c>
      <c r="R876">
        <v>15</v>
      </c>
      <c r="S876" t="s">
        <v>6421</v>
      </c>
      <c r="T876" t="s">
        <v>6422</v>
      </c>
      <c r="U876" t="s">
        <v>34</v>
      </c>
      <c r="V876" t="s">
        <v>6423</v>
      </c>
      <c r="X876" t="s">
        <v>6425</v>
      </c>
      <c r="Y876" t="b">
        <f t="shared" si="13"/>
        <v>0</v>
      </c>
    </row>
    <row r="877" spans="1:25">
      <c r="A877" s="11" t="s">
        <v>9939</v>
      </c>
      <c r="B877" t="s">
        <v>16</v>
      </c>
      <c r="C877" s="2" t="s">
        <v>8342</v>
      </c>
      <c r="D877" t="s">
        <v>6427</v>
      </c>
      <c r="E877" t="s">
        <v>6426</v>
      </c>
      <c r="F877" s="21">
        <v>1</v>
      </c>
      <c r="H877" t="s">
        <v>6431</v>
      </c>
      <c r="I877">
        <v>1</v>
      </c>
      <c r="K877" t="s">
        <v>4255</v>
      </c>
      <c r="M877" t="str">
        <f>"01461672"</f>
        <v>01461672</v>
      </c>
      <c r="N877" s="2" t="str">
        <f>"20120901"</f>
        <v>20120901</v>
      </c>
      <c r="O877">
        <v>38</v>
      </c>
      <c r="P877">
        <v>9</v>
      </c>
      <c r="Q877">
        <v>1165</v>
      </c>
      <c r="R877">
        <v>13</v>
      </c>
      <c r="S877" t="s">
        <v>6428</v>
      </c>
      <c r="T877" t="s">
        <v>6429</v>
      </c>
      <c r="U877" t="s">
        <v>15</v>
      </c>
      <c r="V877" t="s">
        <v>6430</v>
      </c>
      <c r="X877" t="s">
        <v>6432</v>
      </c>
      <c r="Y877" t="b">
        <f t="shared" si="13"/>
        <v>0</v>
      </c>
    </row>
    <row r="878" spans="1:25" hidden="1">
      <c r="A878" s="11" t="s">
        <v>9939</v>
      </c>
      <c r="B878" t="s">
        <v>16</v>
      </c>
      <c r="C878" s="2" t="s">
        <v>8353</v>
      </c>
      <c r="D878" t="s">
        <v>6434</v>
      </c>
      <c r="E878" t="s">
        <v>6433</v>
      </c>
      <c r="H878" t="s">
        <v>6438</v>
      </c>
      <c r="K878" t="s">
        <v>322</v>
      </c>
      <c r="M878" t="str">
        <f>"03038300"</f>
        <v>03038300</v>
      </c>
      <c r="N878" s="2" t="str">
        <f>"20160301"</f>
        <v>20160301</v>
      </c>
      <c r="O878">
        <v>126</v>
      </c>
      <c r="P878">
        <v>2</v>
      </c>
      <c r="Q878">
        <v>657</v>
      </c>
      <c r="R878">
        <v>16</v>
      </c>
      <c r="S878" t="s">
        <v>6435</v>
      </c>
      <c r="T878" t="s">
        <v>6436</v>
      </c>
      <c r="U878" t="s">
        <v>42</v>
      </c>
      <c r="V878" t="s">
        <v>6437</v>
      </c>
      <c r="X878" t="s">
        <v>6439</v>
      </c>
      <c r="Y878" t="b">
        <f t="shared" si="13"/>
        <v>1</v>
      </c>
    </row>
    <row r="879" spans="1:25">
      <c r="A879" s="11" t="s">
        <v>9939</v>
      </c>
      <c r="B879" t="s">
        <v>16</v>
      </c>
      <c r="C879" s="2" t="s">
        <v>8342</v>
      </c>
      <c r="D879" t="s">
        <v>2598</v>
      </c>
      <c r="E879" t="s">
        <v>6440</v>
      </c>
      <c r="F879" s="21">
        <v>1</v>
      </c>
      <c r="H879" t="s">
        <v>6444</v>
      </c>
      <c r="I879">
        <v>1</v>
      </c>
      <c r="K879" t="s">
        <v>339</v>
      </c>
      <c r="M879" t="str">
        <f>"01419870"</f>
        <v>01419870</v>
      </c>
      <c r="N879" s="2" t="str">
        <f>"20120701"</f>
        <v>20120701</v>
      </c>
      <c r="O879">
        <v>35</v>
      </c>
      <c r="P879">
        <v>7</v>
      </c>
      <c r="Q879">
        <v>1287</v>
      </c>
      <c r="R879">
        <v>24</v>
      </c>
      <c r="S879" t="s">
        <v>6441</v>
      </c>
      <c r="T879" t="s">
        <v>6442</v>
      </c>
      <c r="U879" t="s">
        <v>87</v>
      </c>
      <c r="V879" t="s">
        <v>6443</v>
      </c>
      <c r="X879" t="s">
        <v>6445</v>
      </c>
      <c r="Y879" t="b">
        <f t="shared" si="13"/>
        <v>0</v>
      </c>
    </row>
    <row r="880" spans="1:25">
      <c r="A880" s="11" t="s">
        <v>9939</v>
      </c>
      <c r="B880" t="s">
        <v>16</v>
      </c>
      <c r="C880" s="2" t="s">
        <v>8342</v>
      </c>
      <c r="D880" t="s">
        <v>6447</v>
      </c>
      <c r="E880" t="s">
        <v>6446</v>
      </c>
      <c r="F880" s="21">
        <v>1</v>
      </c>
      <c r="H880" t="s">
        <v>6451</v>
      </c>
      <c r="I880">
        <v>1</v>
      </c>
      <c r="K880" t="s">
        <v>3847</v>
      </c>
      <c r="M880" t="str">
        <f>"01902725"</f>
        <v>01902725</v>
      </c>
      <c r="N880" s="2" t="str">
        <f>"20120601"</f>
        <v>20120601</v>
      </c>
      <c r="O880">
        <v>75</v>
      </c>
      <c r="P880">
        <v>2</v>
      </c>
      <c r="Q880">
        <v>131</v>
      </c>
      <c r="R880">
        <v>18</v>
      </c>
      <c r="S880" t="s">
        <v>6448</v>
      </c>
      <c r="T880" t="s">
        <v>6449</v>
      </c>
      <c r="U880" t="s">
        <v>15</v>
      </c>
      <c r="V880" t="s">
        <v>6450</v>
      </c>
      <c r="X880" t="s">
        <v>6452</v>
      </c>
      <c r="Y880" t="b">
        <f t="shared" si="13"/>
        <v>0</v>
      </c>
    </row>
    <row r="881" spans="1:25">
      <c r="A881" s="11" t="s">
        <v>9939</v>
      </c>
      <c r="B881" t="s">
        <v>16</v>
      </c>
      <c r="C881" s="2" t="s">
        <v>8340</v>
      </c>
      <c r="D881" t="s">
        <v>6454</v>
      </c>
      <c r="E881" t="s">
        <v>6453</v>
      </c>
      <c r="F881" s="21">
        <v>1</v>
      </c>
      <c r="H881" t="s">
        <v>6460</v>
      </c>
      <c r="I881">
        <v>1</v>
      </c>
      <c r="K881" t="s">
        <v>6455</v>
      </c>
      <c r="M881" t="str">
        <f>"11011262"</f>
        <v>11011262</v>
      </c>
      <c r="N881" s="2" t="str">
        <f>"20181201"</f>
        <v>20181201</v>
      </c>
      <c r="O881">
        <v>28</v>
      </c>
      <c r="P881" t="s">
        <v>6456</v>
      </c>
      <c r="Q881">
        <v>48</v>
      </c>
      <c r="R881">
        <v>6</v>
      </c>
      <c r="S881" t="s">
        <v>6457</v>
      </c>
      <c r="T881" t="s">
        <v>6458</v>
      </c>
      <c r="U881" t="s">
        <v>675</v>
      </c>
      <c r="V881" t="s">
        <v>6459</v>
      </c>
      <c r="X881" t="s">
        <v>6461</v>
      </c>
      <c r="Y881" t="b">
        <f t="shared" si="13"/>
        <v>0</v>
      </c>
    </row>
    <row r="882" spans="1:25">
      <c r="A882" s="11" t="s">
        <v>9939</v>
      </c>
      <c r="B882" t="s">
        <v>16</v>
      </c>
      <c r="C882" s="2" t="s">
        <v>8339</v>
      </c>
      <c r="D882" t="s">
        <v>6463</v>
      </c>
      <c r="E882" t="s">
        <v>6462</v>
      </c>
      <c r="F882" s="21">
        <v>1</v>
      </c>
      <c r="H882" t="s">
        <v>6467</v>
      </c>
      <c r="I882">
        <v>1</v>
      </c>
      <c r="K882" t="s">
        <v>672</v>
      </c>
      <c r="M882" t="str">
        <f>"08836612"</f>
        <v>08836612</v>
      </c>
      <c r="N882" s="2" t="str">
        <f>"20150401"</f>
        <v>20150401</v>
      </c>
      <c r="O882">
        <v>49</v>
      </c>
      <c r="P882">
        <v>2</v>
      </c>
      <c r="Q882">
        <v>230</v>
      </c>
      <c r="R882">
        <v>9</v>
      </c>
      <c r="S882" t="s">
        <v>6464</v>
      </c>
      <c r="T882" t="s">
        <v>6465</v>
      </c>
      <c r="U882" t="s">
        <v>42</v>
      </c>
      <c r="V882" t="s">
        <v>6466</v>
      </c>
      <c r="X882" t="s">
        <v>6468</v>
      </c>
      <c r="Y882" t="b">
        <f t="shared" si="13"/>
        <v>0</v>
      </c>
    </row>
    <row r="883" spans="1:25" hidden="1">
      <c r="A883" s="11" t="s">
        <v>9939</v>
      </c>
      <c r="B883" t="s">
        <v>16</v>
      </c>
      <c r="C883" s="2" t="s">
        <v>8334</v>
      </c>
      <c r="D883" t="s">
        <v>6470</v>
      </c>
      <c r="E883" t="s">
        <v>6469</v>
      </c>
      <c r="H883" t="s">
        <v>6474</v>
      </c>
      <c r="K883" t="s">
        <v>1751</v>
      </c>
      <c r="M883" t="str">
        <f>"10907165"</f>
        <v>10907165</v>
      </c>
      <c r="N883" s="2" t="str">
        <f>"20140201"</f>
        <v>20140201</v>
      </c>
      <c r="O883">
        <v>18</v>
      </c>
      <c r="P883">
        <v>2</v>
      </c>
      <c r="Q883">
        <v>390</v>
      </c>
      <c r="R883">
        <v>8</v>
      </c>
      <c r="S883" t="s">
        <v>6471</v>
      </c>
      <c r="T883" t="s">
        <v>6472</v>
      </c>
      <c r="U883" t="s">
        <v>42</v>
      </c>
      <c r="V883" t="s">
        <v>6473</v>
      </c>
      <c r="X883" t="s">
        <v>6475</v>
      </c>
      <c r="Y883" t="b">
        <f t="shared" si="13"/>
        <v>1</v>
      </c>
    </row>
    <row r="884" spans="1:25">
      <c r="A884" s="11" t="s">
        <v>9939</v>
      </c>
      <c r="B884" t="s">
        <v>16</v>
      </c>
      <c r="C884" s="2" t="s">
        <v>8345</v>
      </c>
      <c r="D884" t="s">
        <v>6477</v>
      </c>
      <c r="E884" t="s">
        <v>6476</v>
      </c>
      <c r="F884" s="21">
        <v>1</v>
      </c>
      <c r="H884" t="s">
        <v>6482</v>
      </c>
      <c r="I884">
        <v>1</v>
      </c>
      <c r="K884" t="s">
        <v>6478</v>
      </c>
      <c r="M884" t="str">
        <f>"03276716"</f>
        <v>03276716</v>
      </c>
      <c r="N884" s="2" t="str">
        <f>"20200201"</f>
        <v>20200201</v>
      </c>
      <c r="O884">
        <v>29</v>
      </c>
      <c r="P884">
        <v>2</v>
      </c>
      <c r="Q884">
        <v>22</v>
      </c>
      <c r="R884">
        <v>9</v>
      </c>
      <c r="S884" t="s">
        <v>6479</v>
      </c>
      <c r="U884" t="s">
        <v>6480</v>
      </c>
      <c r="V884" t="s">
        <v>6481</v>
      </c>
      <c r="X884" t="s">
        <v>6483</v>
      </c>
      <c r="Y884" t="b">
        <f t="shared" si="13"/>
        <v>0</v>
      </c>
    </row>
    <row r="885" spans="1:25">
      <c r="A885" s="11" t="s">
        <v>9939</v>
      </c>
      <c r="B885" t="s">
        <v>16</v>
      </c>
      <c r="C885" s="2" t="s">
        <v>8345</v>
      </c>
      <c r="D885" t="s">
        <v>6485</v>
      </c>
      <c r="E885" t="s">
        <v>6484</v>
      </c>
      <c r="F885" s="21">
        <v>1</v>
      </c>
      <c r="H885" t="s">
        <v>6489</v>
      </c>
      <c r="I885">
        <v>1</v>
      </c>
      <c r="K885" t="s">
        <v>3301</v>
      </c>
      <c r="M885" t="str">
        <f>"01650327"</f>
        <v>01650327</v>
      </c>
      <c r="N885" s="2" t="str">
        <f>"20200415"</f>
        <v>20200415</v>
      </c>
      <c r="O885">
        <v>267</v>
      </c>
      <c r="Q885">
        <v>9</v>
      </c>
      <c r="R885">
        <v>8</v>
      </c>
      <c r="S885" t="s">
        <v>6486</v>
      </c>
      <c r="T885" t="s">
        <v>6487</v>
      </c>
      <c r="U885" t="s">
        <v>34</v>
      </c>
      <c r="V885" t="s">
        <v>6488</v>
      </c>
      <c r="X885" t="s">
        <v>6490</v>
      </c>
      <c r="Y885" t="b">
        <f t="shared" si="13"/>
        <v>0</v>
      </c>
    </row>
    <row r="886" spans="1:25">
      <c r="A886" s="11" t="s">
        <v>9939</v>
      </c>
      <c r="B886" t="s">
        <v>16</v>
      </c>
      <c r="C886" s="2" t="s">
        <v>8349</v>
      </c>
      <c r="D886" t="s">
        <v>6492</v>
      </c>
      <c r="E886" t="s">
        <v>6491</v>
      </c>
      <c r="F886" s="21">
        <v>1</v>
      </c>
      <c r="H886" t="s">
        <v>6496</v>
      </c>
      <c r="I886">
        <v>1</v>
      </c>
      <c r="J886" t="s">
        <v>9952</v>
      </c>
      <c r="K886" t="s">
        <v>132</v>
      </c>
      <c r="M886" t="str">
        <f>"01471767"</f>
        <v>01471767</v>
      </c>
      <c r="N886" s="2" t="str">
        <f>"20190901"</f>
        <v>20190901</v>
      </c>
      <c r="O886">
        <v>72</v>
      </c>
      <c r="Q886">
        <v>87</v>
      </c>
      <c r="R886">
        <v>9</v>
      </c>
      <c r="S886" t="s">
        <v>6493</v>
      </c>
      <c r="T886" t="s">
        <v>6494</v>
      </c>
      <c r="U886" t="s">
        <v>34</v>
      </c>
      <c r="V886" t="s">
        <v>6495</v>
      </c>
      <c r="X886" t="s">
        <v>6497</v>
      </c>
      <c r="Y886" t="b">
        <f t="shared" si="13"/>
        <v>0</v>
      </c>
    </row>
    <row r="887" spans="1:25" hidden="1">
      <c r="A887" s="11" t="s">
        <v>9939</v>
      </c>
      <c r="B887" t="s">
        <v>16</v>
      </c>
      <c r="C887" s="2" t="s">
        <v>8334</v>
      </c>
      <c r="D887" t="s">
        <v>6499</v>
      </c>
      <c r="E887" t="s">
        <v>6498</v>
      </c>
      <c r="H887" t="s">
        <v>6503</v>
      </c>
      <c r="K887" t="s">
        <v>132</v>
      </c>
      <c r="M887" t="str">
        <f>"01471767"</f>
        <v>01471767</v>
      </c>
      <c r="N887" s="2" t="str">
        <f>"20140101"</f>
        <v>20140101</v>
      </c>
      <c r="O887">
        <v>38</v>
      </c>
      <c r="Q887">
        <v>120</v>
      </c>
      <c r="R887">
        <v>13</v>
      </c>
      <c r="S887" t="s">
        <v>6500</v>
      </c>
      <c r="T887" t="s">
        <v>6501</v>
      </c>
      <c r="U887" t="s">
        <v>34</v>
      </c>
      <c r="V887" t="s">
        <v>6502</v>
      </c>
      <c r="X887" t="s">
        <v>6504</v>
      </c>
      <c r="Y887" t="b">
        <f t="shared" si="13"/>
        <v>1</v>
      </c>
    </row>
    <row r="888" spans="1:25">
      <c r="A888" s="11" t="s">
        <v>9939</v>
      </c>
      <c r="B888" t="s">
        <v>16</v>
      </c>
      <c r="C888" s="2" t="s">
        <v>8343</v>
      </c>
      <c r="D888" t="s">
        <v>6506</v>
      </c>
      <c r="E888" t="s">
        <v>6505</v>
      </c>
      <c r="F888" s="21">
        <v>1</v>
      </c>
      <c r="H888" t="s">
        <v>6510</v>
      </c>
      <c r="I888">
        <v>1</v>
      </c>
      <c r="K888" t="s">
        <v>40</v>
      </c>
      <c r="M888" t="str">
        <f>"15571912"</f>
        <v>15571912</v>
      </c>
      <c r="N888" s="2" t="str">
        <f>"20170401"</f>
        <v>20170401</v>
      </c>
      <c r="O888">
        <v>19</v>
      </c>
      <c r="P888">
        <v>2</v>
      </c>
      <c r="Q888">
        <v>285</v>
      </c>
      <c r="R888">
        <v>9</v>
      </c>
      <c r="S888" t="s">
        <v>6507</v>
      </c>
      <c r="T888" t="s">
        <v>6508</v>
      </c>
      <c r="U888" t="s">
        <v>42</v>
      </c>
      <c r="V888" t="s">
        <v>6509</v>
      </c>
      <c r="X888" t="s">
        <v>6511</v>
      </c>
      <c r="Y888" t="b">
        <f t="shared" si="13"/>
        <v>0</v>
      </c>
    </row>
    <row r="889" spans="1:25" hidden="1">
      <c r="A889" s="11" t="s">
        <v>9939</v>
      </c>
      <c r="B889" t="s">
        <v>16</v>
      </c>
      <c r="C889" s="2" t="s">
        <v>8334</v>
      </c>
      <c r="D889" t="s">
        <v>6513</v>
      </c>
      <c r="E889" t="s">
        <v>6512</v>
      </c>
      <c r="H889" t="s">
        <v>6517</v>
      </c>
      <c r="K889" t="s">
        <v>5775</v>
      </c>
      <c r="M889" t="str">
        <f>"07317115"</f>
        <v>07317115</v>
      </c>
      <c r="N889" s="2" t="str">
        <f>"20140501"</f>
        <v>20140501</v>
      </c>
      <c r="O889">
        <v>37</v>
      </c>
      <c r="P889">
        <v>3</v>
      </c>
      <c r="Q889">
        <v>191</v>
      </c>
      <c r="R889">
        <v>20</v>
      </c>
      <c r="S889" t="s">
        <v>6514</v>
      </c>
      <c r="T889" t="s">
        <v>6515</v>
      </c>
      <c r="U889" t="s">
        <v>87</v>
      </c>
      <c r="V889" t="s">
        <v>6516</v>
      </c>
      <c r="X889" t="s">
        <v>6518</v>
      </c>
      <c r="Y889" t="b">
        <f t="shared" si="13"/>
        <v>1</v>
      </c>
    </row>
    <row r="890" spans="1:25">
      <c r="A890" s="11" t="s">
        <v>9939</v>
      </c>
      <c r="B890" t="s">
        <v>16</v>
      </c>
      <c r="C890" s="2" t="s">
        <v>8334</v>
      </c>
      <c r="D890" t="s">
        <v>6520</v>
      </c>
      <c r="E890" t="s">
        <v>6519</v>
      </c>
      <c r="F890" s="21">
        <v>1</v>
      </c>
      <c r="H890" t="s">
        <v>6524</v>
      </c>
      <c r="I890">
        <v>0</v>
      </c>
      <c r="J890" t="s">
        <v>9178</v>
      </c>
      <c r="K890" t="s">
        <v>1803</v>
      </c>
      <c r="M890" t="str">
        <f>"10826084"</f>
        <v>10826084</v>
      </c>
      <c r="N890" s="2" t="str">
        <f>"20140901"</f>
        <v>20140901</v>
      </c>
      <c r="O890">
        <v>49</v>
      </c>
      <c r="P890">
        <v>11</v>
      </c>
      <c r="Q890">
        <v>1365</v>
      </c>
      <c r="R890">
        <v>11</v>
      </c>
      <c r="S890" t="s">
        <v>6521</v>
      </c>
      <c r="T890" t="s">
        <v>6522</v>
      </c>
      <c r="U890" t="s">
        <v>1227</v>
      </c>
      <c r="V890" t="s">
        <v>6523</v>
      </c>
      <c r="X890" t="s">
        <v>6525</v>
      </c>
      <c r="Y890" t="b">
        <f t="shared" si="13"/>
        <v>0</v>
      </c>
    </row>
    <row r="891" spans="1:25" hidden="1">
      <c r="A891" s="11" t="s">
        <v>9939</v>
      </c>
      <c r="B891" t="s">
        <v>69</v>
      </c>
      <c r="C891" s="2" t="s">
        <v>8339</v>
      </c>
      <c r="D891" t="s">
        <v>6527</v>
      </c>
      <c r="E891" t="s">
        <v>6526</v>
      </c>
      <c r="H891" t="s">
        <v>6530</v>
      </c>
      <c r="K891" t="s">
        <v>65</v>
      </c>
      <c r="L891" t="str">
        <f>"9781303969898"</f>
        <v>9781303969898</v>
      </c>
      <c r="M891" t="str">
        <f>"04194209"</f>
        <v>04194209</v>
      </c>
      <c r="N891" s="2" t="str">
        <f>"20150101"</f>
        <v>20150101</v>
      </c>
      <c r="O891">
        <v>75</v>
      </c>
      <c r="P891" t="s">
        <v>378</v>
      </c>
      <c r="S891" t="s">
        <v>6528</v>
      </c>
      <c r="U891" t="s">
        <v>68</v>
      </c>
      <c r="V891" t="s">
        <v>6529</v>
      </c>
      <c r="X891" t="s">
        <v>6531</v>
      </c>
      <c r="Y891" t="b">
        <f t="shared" si="13"/>
        <v>1</v>
      </c>
    </row>
    <row r="892" spans="1:25" hidden="1">
      <c r="A892" s="11" t="s">
        <v>9939</v>
      </c>
      <c r="B892" t="s">
        <v>16</v>
      </c>
      <c r="C892" s="2" t="s">
        <v>8346</v>
      </c>
      <c r="D892" t="s">
        <v>6533</v>
      </c>
      <c r="E892" t="s">
        <v>6532</v>
      </c>
      <c r="H892" t="s">
        <v>6537</v>
      </c>
      <c r="K892" t="s">
        <v>40</v>
      </c>
      <c r="M892" t="str">
        <f>"15571912"</f>
        <v>15571912</v>
      </c>
      <c r="N892" s="2" t="str">
        <f>"20111201"</f>
        <v>20111201</v>
      </c>
      <c r="O892">
        <v>13</v>
      </c>
      <c r="P892">
        <v>6</v>
      </c>
      <c r="Q892">
        <v>982</v>
      </c>
      <c r="R892">
        <v>8</v>
      </c>
      <c r="S892" t="s">
        <v>6534</v>
      </c>
      <c r="T892" t="s">
        <v>6535</v>
      </c>
      <c r="U892" t="s">
        <v>42</v>
      </c>
      <c r="V892" t="s">
        <v>6536</v>
      </c>
      <c r="X892" t="s">
        <v>6538</v>
      </c>
      <c r="Y892" t="b">
        <f t="shared" si="13"/>
        <v>1</v>
      </c>
    </row>
    <row r="893" spans="1:25" hidden="1">
      <c r="A893" s="11" t="s">
        <v>9939</v>
      </c>
      <c r="B893" t="s">
        <v>16</v>
      </c>
      <c r="C893" s="2" t="s">
        <v>8347</v>
      </c>
      <c r="D893" t="s">
        <v>6540</v>
      </c>
      <c r="E893" t="s">
        <v>6539</v>
      </c>
      <c r="H893" t="s">
        <v>6546</v>
      </c>
      <c r="K893" t="s">
        <v>6541</v>
      </c>
      <c r="M893" t="str">
        <f>"00812463"</f>
        <v>00812463</v>
      </c>
      <c r="N893" s="2" t="str">
        <f>"20081201"</f>
        <v>20081201</v>
      </c>
      <c r="O893">
        <v>38</v>
      </c>
      <c r="P893">
        <v>4</v>
      </c>
      <c r="Q893">
        <v>689</v>
      </c>
      <c r="R893">
        <v>10</v>
      </c>
      <c r="S893" t="s">
        <v>6542</v>
      </c>
      <c r="T893" t="s">
        <v>6543</v>
      </c>
      <c r="U893" t="s">
        <v>6544</v>
      </c>
      <c r="V893" t="s">
        <v>6545</v>
      </c>
      <c r="X893" t="s">
        <v>6547</v>
      </c>
      <c r="Y893" t="b">
        <f t="shared" si="13"/>
        <v>1</v>
      </c>
    </row>
    <row r="894" spans="1:25" hidden="1">
      <c r="A894" s="11" t="s">
        <v>9939</v>
      </c>
      <c r="B894" t="s">
        <v>16</v>
      </c>
      <c r="C894" s="2" t="s">
        <v>8335</v>
      </c>
      <c r="D894" t="s">
        <v>6549</v>
      </c>
      <c r="E894" t="s">
        <v>6548</v>
      </c>
      <c r="H894" t="s">
        <v>6553</v>
      </c>
      <c r="K894" t="s">
        <v>140</v>
      </c>
      <c r="M894" t="str">
        <f>"02779536"</f>
        <v>02779536</v>
      </c>
      <c r="N894" s="2" t="str">
        <f>"20041001"</f>
        <v>20041001</v>
      </c>
      <c r="O894">
        <v>59</v>
      </c>
      <c r="P894">
        <v>8</v>
      </c>
      <c r="Q894">
        <v>1629</v>
      </c>
      <c r="R894">
        <v>18</v>
      </c>
      <c r="S894" t="s">
        <v>6550</v>
      </c>
      <c r="T894" t="s">
        <v>6551</v>
      </c>
      <c r="U894" t="s">
        <v>34</v>
      </c>
      <c r="V894" t="s">
        <v>6552</v>
      </c>
      <c r="X894" t="s">
        <v>6554</v>
      </c>
      <c r="Y894" t="b">
        <f t="shared" si="13"/>
        <v>1</v>
      </c>
    </row>
    <row r="895" spans="1:25">
      <c r="A895" s="11" t="s">
        <v>9939</v>
      </c>
      <c r="B895" t="s">
        <v>69</v>
      </c>
      <c r="C895" s="2" t="s">
        <v>8345</v>
      </c>
      <c r="D895" t="s">
        <v>6556</v>
      </c>
      <c r="E895" t="s">
        <v>6555</v>
      </c>
      <c r="F895" s="21">
        <v>1</v>
      </c>
      <c r="H895" t="s">
        <v>6559</v>
      </c>
      <c r="I895">
        <v>0</v>
      </c>
      <c r="J895" t="s">
        <v>9249</v>
      </c>
      <c r="K895" t="s">
        <v>101</v>
      </c>
      <c r="L895" t="str">
        <f>"9781085558976"</f>
        <v>9781085558976</v>
      </c>
      <c r="M895" t="str">
        <f>"04194217"</f>
        <v>04194217</v>
      </c>
      <c r="N895" s="2" t="str">
        <f>"20200101"</f>
        <v>20200101</v>
      </c>
      <c r="O895">
        <v>81</v>
      </c>
      <c r="P895" t="s">
        <v>102</v>
      </c>
      <c r="S895" t="s">
        <v>6557</v>
      </c>
      <c r="U895" t="s">
        <v>68</v>
      </c>
      <c r="V895" t="s">
        <v>6558</v>
      </c>
      <c r="X895" t="s">
        <v>6560</v>
      </c>
      <c r="Y895" t="b">
        <f t="shared" si="13"/>
        <v>0</v>
      </c>
    </row>
    <row r="896" spans="1:25" hidden="1">
      <c r="A896" s="11" t="s">
        <v>9939</v>
      </c>
      <c r="B896" t="s">
        <v>16</v>
      </c>
      <c r="C896" s="2" t="s">
        <v>8340</v>
      </c>
      <c r="D896" t="s">
        <v>6562</v>
      </c>
      <c r="E896" t="s">
        <v>6561</v>
      </c>
      <c r="H896" t="s">
        <v>6566</v>
      </c>
      <c r="K896" t="s">
        <v>132</v>
      </c>
      <c r="M896" t="str">
        <f>"01471767"</f>
        <v>01471767</v>
      </c>
      <c r="N896" s="2" t="str">
        <f>"20180301"</f>
        <v>20180301</v>
      </c>
      <c r="O896">
        <v>63</v>
      </c>
      <c r="Q896">
        <v>68</v>
      </c>
      <c r="R896">
        <v>12</v>
      </c>
      <c r="S896" t="s">
        <v>6563</v>
      </c>
      <c r="T896" t="s">
        <v>6564</v>
      </c>
      <c r="U896" t="s">
        <v>34</v>
      </c>
      <c r="V896" t="s">
        <v>6565</v>
      </c>
      <c r="X896" t="s">
        <v>6567</v>
      </c>
      <c r="Y896" t="b">
        <f t="shared" si="13"/>
        <v>1</v>
      </c>
    </row>
    <row r="897" spans="1:25">
      <c r="A897" s="11" t="s">
        <v>9939</v>
      </c>
      <c r="B897" t="s">
        <v>16</v>
      </c>
      <c r="C897" s="2" t="s">
        <v>8346</v>
      </c>
      <c r="D897" t="s">
        <v>6569</v>
      </c>
      <c r="E897" t="s">
        <v>6568</v>
      </c>
      <c r="F897" s="21">
        <v>1</v>
      </c>
      <c r="H897" t="s">
        <v>6573</v>
      </c>
      <c r="I897">
        <v>1</v>
      </c>
      <c r="K897" t="s">
        <v>252</v>
      </c>
      <c r="M897" t="str">
        <f>"00220221"</f>
        <v>00220221</v>
      </c>
      <c r="N897" s="2" t="str">
        <f>"20110101"</f>
        <v>20110101</v>
      </c>
      <c r="O897">
        <v>42</v>
      </c>
      <c r="P897">
        <v>1</v>
      </c>
      <c r="Q897">
        <v>56</v>
      </c>
      <c r="R897">
        <v>19</v>
      </c>
      <c r="S897" t="s">
        <v>6570</v>
      </c>
      <c r="T897" t="s">
        <v>6571</v>
      </c>
      <c r="U897" t="s">
        <v>15</v>
      </c>
      <c r="V897" t="s">
        <v>6572</v>
      </c>
      <c r="X897" t="s">
        <v>6574</v>
      </c>
      <c r="Y897" t="b">
        <f t="shared" si="13"/>
        <v>0</v>
      </c>
    </row>
    <row r="898" spans="1:25">
      <c r="A898" s="11" t="s">
        <v>9939</v>
      </c>
      <c r="B898" t="s">
        <v>16</v>
      </c>
      <c r="C898" s="2" t="s">
        <v>8359</v>
      </c>
      <c r="D898" t="s">
        <v>6576</v>
      </c>
      <c r="E898" t="s">
        <v>6575</v>
      </c>
      <c r="F898" s="21">
        <v>1</v>
      </c>
      <c r="H898" t="s">
        <v>6581</v>
      </c>
      <c r="I898">
        <v>1</v>
      </c>
      <c r="K898" t="s">
        <v>6577</v>
      </c>
      <c r="M898" t="str">
        <f>"00187267"</f>
        <v>00187267</v>
      </c>
      <c r="N898" s="2" t="str">
        <f>"19640101"</f>
        <v>19640101</v>
      </c>
      <c r="O898">
        <v>17</v>
      </c>
      <c r="P898">
        <v>4</v>
      </c>
      <c r="Q898">
        <v>321</v>
      </c>
      <c r="R898">
        <v>20</v>
      </c>
      <c r="S898" t="s">
        <v>6578</v>
      </c>
      <c r="T898" t="s">
        <v>6579</v>
      </c>
      <c r="U898" t="s">
        <v>15</v>
      </c>
      <c r="V898" t="s">
        <v>6580</v>
      </c>
      <c r="X898" t="s">
        <v>6582</v>
      </c>
      <c r="Y898" t="b">
        <f t="shared" ref="Y898:Y961" si="14">COUNTIF(X:X, X898)&gt;1</f>
        <v>0</v>
      </c>
    </row>
    <row r="899" spans="1:25">
      <c r="A899" s="11" t="s">
        <v>9939</v>
      </c>
      <c r="B899" t="s">
        <v>16</v>
      </c>
      <c r="C899" s="2" t="s">
        <v>8336</v>
      </c>
      <c r="D899" t="s">
        <v>6584</v>
      </c>
      <c r="E899" t="s">
        <v>6583</v>
      </c>
      <c r="F899" s="21">
        <v>1</v>
      </c>
      <c r="H899" t="s">
        <v>6589</v>
      </c>
      <c r="I899">
        <v>1</v>
      </c>
      <c r="K899" t="s">
        <v>6585</v>
      </c>
      <c r="M899" t="str">
        <f>"15356841"</f>
        <v>15356841</v>
      </c>
      <c r="N899" s="2" t="str">
        <f>"20071201"</f>
        <v>20071201</v>
      </c>
      <c r="O899">
        <v>6</v>
      </c>
      <c r="P899">
        <v>4</v>
      </c>
      <c r="Q899">
        <v>263</v>
      </c>
      <c r="R899">
        <v>28</v>
      </c>
      <c r="S899" t="s">
        <v>6586</v>
      </c>
      <c r="T899" t="s">
        <v>6587</v>
      </c>
      <c r="U899" t="s">
        <v>464</v>
      </c>
      <c r="V899" t="s">
        <v>6588</v>
      </c>
      <c r="X899" t="s">
        <v>6590</v>
      </c>
      <c r="Y899" t="b">
        <f t="shared" si="14"/>
        <v>0</v>
      </c>
    </row>
    <row r="900" spans="1:25" hidden="1">
      <c r="A900" s="11" t="s">
        <v>9939</v>
      </c>
      <c r="B900" t="s">
        <v>16</v>
      </c>
      <c r="C900" s="2" t="s">
        <v>8337</v>
      </c>
      <c r="D900" t="s">
        <v>6592</v>
      </c>
      <c r="E900" t="s">
        <v>6591</v>
      </c>
      <c r="H900" t="s">
        <v>6596</v>
      </c>
      <c r="K900" t="s">
        <v>461</v>
      </c>
      <c r="M900" t="str">
        <f>"09523871"</f>
        <v>09523871</v>
      </c>
      <c r="N900" s="2" t="str">
        <f>"20130401"</f>
        <v>20130401</v>
      </c>
      <c r="O900">
        <v>26</v>
      </c>
      <c r="P900">
        <v>2</v>
      </c>
      <c r="Q900">
        <v>145</v>
      </c>
      <c r="R900">
        <v>11</v>
      </c>
      <c r="S900" t="s">
        <v>6593</v>
      </c>
      <c r="T900" t="s">
        <v>6594</v>
      </c>
      <c r="U900" t="s">
        <v>730</v>
      </c>
      <c r="V900" t="s">
        <v>6595</v>
      </c>
      <c r="X900" t="s">
        <v>6597</v>
      </c>
      <c r="Y900" t="b">
        <f t="shared" si="14"/>
        <v>1</v>
      </c>
    </row>
    <row r="901" spans="1:25" hidden="1">
      <c r="A901" s="11" t="s">
        <v>9939</v>
      </c>
      <c r="B901" t="s">
        <v>16</v>
      </c>
      <c r="C901" s="2" t="s">
        <v>8349</v>
      </c>
      <c r="D901" t="s">
        <v>6599</v>
      </c>
      <c r="E901" t="s">
        <v>6598</v>
      </c>
      <c r="H901" t="s">
        <v>6603</v>
      </c>
      <c r="K901" t="s">
        <v>132</v>
      </c>
      <c r="M901" t="str">
        <f>"01471767"</f>
        <v>01471767</v>
      </c>
      <c r="N901" s="2" t="str">
        <f>"20190701"</f>
        <v>20190701</v>
      </c>
      <c r="O901">
        <v>71</v>
      </c>
      <c r="Q901">
        <v>24</v>
      </c>
      <c r="R901">
        <v>7</v>
      </c>
      <c r="S901" t="s">
        <v>6600</v>
      </c>
      <c r="T901" t="s">
        <v>6601</v>
      </c>
      <c r="U901" t="s">
        <v>34</v>
      </c>
      <c r="V901" t="s">
        <v>6602</v>
      </c>
      <c r="X901" t="s">
        <v>6604</v>
      </c>
      <c r="Y901" t="b">
        <f t="shared" si="14"/>
        <v>1</v>
      </c>
    </row>
    <row r="902" spans="1:25">
      <c r="A902" s="11" t="s">
        <v>9939</v>
      </c>
      <c r="B902" t="s">
        <v>16</v>
      </c>
      <c r="C902" s="2" t="s">
        <v>8347</v>
      </c>
      <c r="D902" t="s">
        <v>6606</v>
      </c>
      <c r="E902" t="s">
        <v>6605</v>
      </c>
      <c r="F902" s="21">
        <v>1</v>
      </c>
      <c r="H902" t="s">
        <v>6610</v>
      </c>
      <c r="I902">
        <v>1</v>
      </c>
      <c r="K902" t="s">
        <v>2379</v>
      </c>
      <c r="M902" t="str">
        <f>"00093920"</f>
        <v>00093920</v>
      </c>
      <c r="N902" s="2" t="str">
        <f>"20080701"</f>
        <v>20080701</v>
      </c>
      <c r="O902">
        <v>79</v>
      </c>
      <c r="P902">
        <v>4</v>
      </c>
      <c r="Q902">
        <v>944</v>
      </c>
      <c r="R902">
        <v>13</v>
      </c>
      <c r="S902" t="s">
        <v>6607</v>
      </c>
      <c r="T902" t="s">
        <v>6608</v>
      </c>
      <c r="U902" t="s">
        <v>730</v>
      </c>
      <c r="V902" t="s">
        <v>6609</v>
      </c>
      <c r="X902" t="s">
        <v>6611</v>
      </c>
      <c r="Y902" t="b">
        <f t="shared" si="14"/>
        <v>0</v>
      </c>
    </row>
    <row r="903" spans="1:25" hidden="1">
      <c r="A903" s="11" t="s">
        <v>9939</v>
      </c>
      <c r="B903" t="s">
        <v>16</v>
      </c>
      <c r="C903" s="2" t="s">
        <v>8341</v>
      </c>
      <c r="D903" t="s">
        <v>6613</v>
      </c>
      <c r="E903" t="s">
        <v>6612</v>
      </c>
      <c r="H903" t="s">
        <v>6618</v>
      </c>
      <c r="K903" t="s">
        <v>6614</v>
      </c>
      <c r="M903" t="str">
        <f>"11065737"</f>
        <v>11065737</v>
      </c>
      <c r="N903" s="2" t="str">
        <f>"20090601"</f>
        <v>20090601</v>
      </c>
      <c r="O903">
        <v>16</v>
      </c>
      <c r="P903">
        <v>2</v>
      </c>
      <c r="Q903">
        <v>185</v>
      </c>
      <c r="R903">
        <v>20</v>
      </c>
      <c r="S903" t="s">
        <v>6615</v>
      </c>
      <c r="U903" t="s">
        <v>6616</v>
      </c>
      <c r="V903" t="s">
        <v>6617</v>
      </c>
      <c r="X903" t="s">
        <v>6619</v>
      </c>
      <c r="Y903" t="b">
        <f t="shared" si="14"/>
        <v>1</v>
      </c>
    </row>
    <row r="904" spans="1:25" hidden="1">
      <c r="A904" s="11" t="s">
        <v>9939</v>
      </c>
      <c r="B904" t="s">
        <v>16</v>
      </c>
      <c r="C904" s="2" t="s">
        <v>8339</v>
      </c>
      <c r="D904" t="s">
        <v>6621</v>
      </c>
      <c r="E904" t="s">
        <v>6620</v>
      </c>
      <c r="F904" s="20">
        <v>0</v>
      </c>
      <c r="G904" t="s">
        <v>9178</v>
      </c>
      <c r="H904" t="s">
        <v>6626</v>
      </c>
      <c r="K904" t="s">
        <v>6622</v>
      </c>
      <c r="M904" t="str">
        <f>"0361476X"</f>
        <v>0361476X</v>
      </c>
      <c r="N904" s="2" t="str">
        <f>"20150701"</f>
        <v>20150701</v>
      </c>
      <c r="O904">
        <v>42</v>
      </c>
      <c r="Q904">
        <v>71</v>
      </c>
      <c r="R904">
        <v>11</v>
      </c>
      <c r="S904" t="s">
        <v>6623</v>
      </c>
      <c r="T904" t="s">
        <v>6624</v>
      </c>
      <c r="U904" t="s">
        <v>34</v>
      </c>
      <c r="V904" t="s">
        <v>6625</v>
      </c>
      <c r="X904" t="s">
        <v>6627</v>
      </c>
      <c r="Y904" t="b">
        <f t="shared" si="14"/>
        <v>0</v>
      </c>
    </row>
    <row r="905" spans="1:25" hidden="1">
      <c r="A905" s="11" t="s">
        <v>9939</v>
      </c>
      <c r="B905" t="s">
        <v>16</v>
      </c>
      <c r="C905" s="2" t="s">
        <v>8337</v>
      </c>
      <c r="D905" t="s">
        <v>6629</v>
      </c>
      <c r="E905" t="s">
        <v>6628</v>
      </c>
      <c r="F905" s="20">
        <v>0</v>
      </c>
      <c r="G905" t="s">
        <v>9178</v>
      </c>
      <c r="H905" t="s">
        <v>6633</v>
      </c>
      <c r="K905" t="s">
        <v>252</v>
      </c>
      <c r="M905" t="str">
        <f>"00220221"</f>
        <v>00220221</v>
      </c>
      <c r="N905" s="2" t="str">
        <f>"20130401"</f>
        <v>20130401</v>
      </c>
      <c r="O905">
        <v>44</v>
      </c>
      <c r="P905">
        <v>3</v>
      </c>
      <c r="Q905">
        <v>352</v>
      </c>
      <c r="R905">
        <v>13</v>
      </c>
      <c r="S905" t="s">
        <v>6630</v>
      </c>
      <c r="T905" t="s">
        <v>6631</v>
      </c>
      <c r="U905" t="s">
        <v>15</v>
      </c>
      <c r="V905" t="s">
        <v>6632</v>
      </c>
      <c r="X905" t="s">
        <v>6634</v>
      </c>
      <c r="Y905" t="b">
        <f t="shared" si="14"/>
        <v>0</v>
      </c>
    </row>
    <row r="906" spans="1:25" hidden="1">
      <c r="A906" s="11" t="s">
        <v>9939</v>
      </c>
      <c r="B906" t="s">
        <v>16</v>
      </c>
      <c r="C906" s="2" t="s">
        <v>8342</v>
      </c>
      <c r="D906" t="s">
        <v>6636</v>
      </c>
      <c r="E906" t="s">
        <v>6635</v>
      </c>
      <c r="H906" t="s">
        <v>6641</v>
      </c>
      <c r="K906" t="s">
        <v>6637</v>
      </c>
      <c r="M906" t="str">
        <f>"17570980"</f>
        <v>17570980</v>
      </c>
      <c r="N906" s="2" t="str">
        <f>"20120101"</f>
        <v>20120101</v>
      </c>
      <c r="O906">
        <v>5</v>
      </c>
      <c r="P906">
        <v>3</v>
      </c>
      <c r="Q906">
        <v>108</v>
      </c>
      <c r="R906">
        <v>8</v>
      </c>
      <c r="S906" t="s">
        <v>6638</v>
      </c>
      <c r="T906" t="s">
        <v>6639</v>
      </c>
      <c r="U906" t="s">
        <v>78</v>
      </c>
      <c r="V906" t="s">
        <v>6640</v>
      </c>
      <c r="X906" t="s">
        <v>6642</v>
      </c>
      <c r="Y906" t="b">
        <f t="shared" si="14"/>
        <v>1</v>
      </c>
    </row>
    <row r="907" spans="1:25" hidden="1">
      <c r="A907" s="11" t="s">
        <v>9939</v>
      </c>
      <c r="B907" t="s">
        <v>16</v>
      </c>
      <c r="C907" s="2" t="s">
        <v>8344</v>
      </c>
      <c r="D907" t="s">
        <v>6644</v>
      </c>
      <c r="E907" t="s">
        <v>6643</v>
      </c>
      <c r="F907" s="20">
        <v>0</v>
      </c>
      <c r="G907" t="s">
        <v>9178</v>
      </c>
      <c r="H907" t="s">
        <v>6650</v>
      </c>
      <c r="K907" t="s">
        <v>6645</v>
      </c>
      <c r="M907" t="str">
        <f>"02544962"</f>
        <v>02544962</v>
      </c>
      <c r="N907" s="2" t="str">
        <f>"20101201"</f>
        <v>20101201</v>
      </c>
      <c r="O907">
        <v>43</v>
      </c>
      <c r="P907">
        <v>1</v>
      </c>
      <c r="Q907">
        <v>17</v>
      </c>
      <c r="R907">
        <v>8</v>
      </c>
      <c r="S907" t="s">
        <v>6646</v>
      </c>
      <c r="T907" t="s">
        <v>6647</v>
      </c>
      <c r="U907" t="s">
        <v>6648</v>
      </c>
      <c r="V907" t="s">
        <v>6649</v>
      </c>
      <c r="X907" t="s">
        <v>6651</v>
      </c>
      <c r="Y907" t="b">
        <f t="shared" si="14"/>
        <v>0</v>
      </c>
    </row>
    <row r="908" spans="1:25" hidden="1">
      <c r="A908" s="11" t="s">
        <v>9939</v>
      </c>
      <c r="B908" t="s">
        <v>16</v>
      </c>
      <c r="C908" s="2" t="s">
        <v>8346</v>
      </c>
      <c r="D908" t="s">
        <v>6653</v>
      </c>
      <c r="E908" t="s">
        <v>6652</v>
      </c>
      <c r="F908" s="20">
        <v>0</v>
      </c>
      <c r="G908" t="s">
        <v>9178</v>
      </c>
      <c r="H908" t="s">
        <v>6657</v>
      </c>
      <c r="K908" t="s">
        <v>672</v>
      </c>
      <c r="M908" t="str">
        <f>"08836612"</f>
        <v>08836612</v>
      </c>
      <c r="N908" s="2" t="str">
        <f>"20110601"</f>
        <v>20110601</v>
      </c>
      <c r="O908">
        <v>41</v>
      </c>
      <c r="P908">
        <v>3</v>
      </c>
      <c r="Q908">
        <v>324</v>
      </c>
      <c r="R908">
        <v>9</v>
      </c>
      <c r="S908" t="s">
        <v>6654</v>
      </c>
      <c r="T908" t="s">
        <v>6655</v>
      </c>
      <c r="U908" t="s">
        <v>42</v>
      </c>
      <c r="V908" t="s">
        <v>6656</v>
      </c>
      <c r="X908" t="s">
        <v>6658</v>
      </c>
      <c r="Y908" t="b">
        <f t="shared" si="14"/>
        <v>0</v>
      </c>
    </row>
    <row r="909" spans="1:25" hidden="1">
      <c r="A909" s="11" t="s">
        <v>9939</v>
      </c>
      <c r="B909" t="s">
        <v>16</v>
      </c>
      <c r="C909" s="2" t="s">
        <v>8334</v>
      </c>
      <c r="D909" t="s">
        <v>6660</v>
      </c>
      <c r="E909" t="s">
        <v>6659</v>
      </c>
      <c r="H909" t="s">
        <v>6664</v>
      </c>
      <c r="K909" t="s">
        <v>40</v>
      </c>
      <c r="M909" t="str">
        <f>"15571912"</f>
        <v>15571912</v>
      </c>
      <c r="N909" s="2" t="str">
        <f>"20141201"</f>
        <v>20141201</v>
      </c>
      <c r="O909">
        <v>16</v>
      </c>
      <c r="P909">
        <v>6</v>
      </c>
      <c r="Q909">
        <v>1035</v>
      </c>
      <c r="R909">
        <v>10</v>
      </c>
      <c r="S909" t="s">
        <v>6661</v>
      </c>
      <c r="T909" t="s">
        <v>6662</v>
      </c>
      <c r="U909" t="s">
        <v>42</v>
      </c>
      <c r="V909" t="s">
        <v>6663</v>
      </c>
      <c r="X909" t="s">
        <v>6665</v>
      </c>
      <c r="Y909" t="b">
        <f t="shared" si="14"/>
        <v>1</v>
      </c>
    </row>
    <row r="910" spans="1:25">
      <c r="A910" s="11" t="s">
        <v>9939</v>
      </c>
      <c r="B910" t="s">
        <v>16</v>
      </c>
      <c r="C910" s="2" t="s">
        <v>8336</v>
      </c>
      <c r="D910" t="s">
        <v>6667</v>
      </c>
      <c r="E910" t="s">
        <v>6666</v>
      </c>
      <c r="F910" s="21">
        <v>1</v>
      </c>
      <c r="H910" t="s">
        <v>6671</v>
      </c>
      <c r="I910">
        <v>1</v>
      </c>
      <c r="K910" t="s">
        <v>40</v>
      </c>
      <c r="M910" t="str">
        <f>"15571912"</f>
        <v>15571912</v>
      </c>
      <c r="N910" s="2" t="str">
        <f>"20070401"</f>
        <v>20070401</v>
      </c>
      <c r="O910">
        <v>9</v>
      </c>
      <c r="P910">
        <v>2</v>
      </c>
      <c r="Q910">
        <v>75</v>
      </c>
      <c r="R910">
        <v>10</v>
      </c>
      <c r="S910" t="s">
        <v>6668</v>
      </c>
      <c r="T910" t="s">
        <v>6669</v>
      </c>
      <c r="U910" t="s">
        <v>42</v>
      </c>
      <c r="V910" t="s">
        <v>6670</v>
      </c>
      <c r="X910" t="s">
        <v>6672</v>
      </c>
      <c r="Y910" t="b">
        <f t="shared" si="14"/>
        <v>0</v>
      </c>
    </row>
    <row r="911" spans="1:25" hidden="1">
      <c r="A911" s="11" t="s">
        <v>9939</v>
      </c>
      <c r="B911" t="s">
        <v>16</v>
      </c>
      <c r="C911" s="2" t="s">
        <v>8346</v>
      </c>
      <c r="D911" t="s">
        <v>6674</v>
      </c>
      <c r="E911" t="s">
        <v>6673</v>
      </c>
      <c r="H911" t="s">
        <v>6678</v>
      </c>
      <c r="K911" t="s">
        <v>1504</v>
      </c>
      <c r="M911" t="str">
        <f>"01612840"</f>
        <v>01612840</v>
      </c>
      <c r="N911" s="2" t="str">
        <f>"20111201"</f>
        <v>20111201</v>
      </c>
      <c r="O911">
        <v>33</v>
      </c>
      <c r="P911">
        <v>1</v>
      </c>
      <c r="Q911">
        <v>52</v>
      </c>
      <c r="R911">
        <v>7</v>
      </c>
      <c r="S911" t="s">
        <v>6675</v>
      </c>
      <c r="T911" t="s">
        <v>6676</v>
      </c>
      <c r="U911" t="s">
        <v>1227</v>
      </c>
      <c r="V911" t="s">
        <v>6677</v>
      </c>
      <c r="X911" t="s">
        <v>6679</v>
      </c>
      <c r="Y911" t="b">
        <f t="shared" si="14"/>
        <v>1</v>
      </c>
    </row>
    <row r="912" spans="1:25">
      <c r="A912" s="11" t="s">
        <v>9939</v>
      </c>
      <c r="B912" t="s">
        <v>16</v>
      </c>
      <c r="C912" s="2" t="s">
        <v>8334</v>
      </c>
      <c r="D912" t="s">
        <v>6681</v>
      </c>
      <c r="E912" t="s">
        <v>6680</v>
      </c>
      <c r="F912" s="21">
        <v>1</v>
      </c>
      <c r="H912" t="s">
        <v>6686</v>
      </c>
      <c r="I912">
        <v>1</v>
      </c>
      <c r="J912" t="s">
        <v>9952</v>
      </c>
      <c r="K912" t="s">
        <v>6682</v>
      </c>
      <c r="M912" t="str">
        <f>"08952841"</f>
        <v>08952841</v>
      </c>
      <c r="N912" s="2" t="str">
        <f>"20140101"</f>
        <v>20140101</v>
      </c>
      <c r="O912">
        <v>26</v>
      </c>
      <c r="P912">
        <v>1</v>
      </c>
      <c r="Q912">
        <v>66</v>
      </c>
      <c r="R912">
        <v>18</v>
      </c>
      <c r="S912" t="s">
        <v>6683</v>
      </c>
      <c r="T912" t="s">
        <v>6684</v>
      </c>
      <c r="U912" t="s">
        <v>87</v>
      </c>
      <c r="V912" t="s">
        <v>6685</v>
      </c>
      <c r="X912" t="s">
        <v>6687</v>
      </c>
      <c r="Y912" t="b">
        <f t="shared" si="14"/>
        <v>0</v>
      </c>
    </row>
    <row r="913" spans="1:25">
      <c r="A913" s="11" t="s">
        <v>9939</v>
      </c>
      <c r="B913" t="s">
        <v>16</v>
      </c>
      <c r="C913" s="2" t="s">
        <v>8334</v>
      </c>
      <c r="D913" t="s">
        <v>6689</v>
      </c>
      <c r="E913" t="s">
        <v>6688</v>
      </c>
      <c r="F913" s="21">
        <v>1</v>
      </c>
      <c r="H913" t="s">
        <v>6692</v>
      </c>
      <c r="I913">
        <v>1</v>
      </c>
      <c r="K913" t="s">
        <v>370</v>
      </c>
      <c r="M913" t="str">
        <f>"00207594"</f>
        <v>00207594</v>
      </c>
      <c r="N913" s="2" t="str">
        <f>"20140601"</f>
        <v>20140601</v>
      </c>
      <c r="O913">
        <v>49</v>
      </c>
      <c r="P913">
        <v>3</v>
      </c>
      <c r="Q913">
        <v>175</v>
      </c>
      <c r="R913">
        <v>8</v>
      </c>
      <c r="S913" t="s">
        <v>6690</v>
      </c>
      <c r="U913" t="s">
        <v>730</v>
      </c>
      <c r="V913" t="s">
        <v>6691</v>
      </c>
      <c r="X913" t="s">
        <v>6693</v>
      </c>
      <c r="Y913" t="b">
        <f t="shared" si="14"/>
        <v>0</v>
      </c>
    </row>
    <row r="914" spans="1:25">
      <c r="A914" s="11" t="s">
        <v>9939</v>
      </c>
      <c r="B914" t="s">
        <v>16</v>
      </c>
      <c r="C914" s="2" t="s">
        <v>8343</v>
      </c>
      <c r="D914" t="s">
        <v>6695</v>
      </c>
      <c r="E914" t="s">
        <v>6694</v>
      </c>
      <c r="F914" s="21">
        <v>1</v>
      </c>
      <c r="H914" t="s">
        <v>6699</v>
      </c>
      <c r="I914">
        <v>1</v>
      </c>
      <c r="K914" t="s">
        <v>4861</v>
      </c>
      <c r="M914" t="str">
        <f>"01956663"</f>
        <v>01956663</v>
      </c>
      <c r="N914" s="2" t="str">
        <f>"20171001"</f>
        <v>20171001</v>
      </c>
      <c r="O914">
        <v>117</v>
      </c>
      <c r="Q914">
        <v>203</v>
      </c>
      <c r="R914">
        <v>11</v>
      </c>
      <c r="S914" t="s">
        <v>6696</v>
      </c>
      <c r="T914" t="s">
        <v>6697</v>
      </c>
      <c r="U914" t="s">
        <v>34</v>
      </c>
      <c r="V914" t="s">
        <v>6698</v>
      </c>
      <c r="X914" t="s">
        <v>6700</v>
      </c>
      <c r="Y914" t="b">
        <f t="shared" si="14"/>
        <v>0</v>
      </c>
    </row>
    <row r="915" spans="1:25">
      <c r="A915" s="11" t="s">
        <v>9939</v>
      </c>
      <c r="B915" t="s">
        <v>16</v>
      </c>
      <c r="C915" s="2" t="s">
        <v>8349</v>
      </c>
      <c r="D915" t="s">
        <v>6702</v>
      </c>
      <c r="E915" t="s">
        <v>6701</v>
      </c>
      <c r="F915" s="21">
        <v>1</v>
      </c>
      <c r="H915" t="s">
        <v>6706</v>
      </c>
      <c r="I915">
        <v>1</v>
      </c>
      <c r="K915" t="s">
        <v>758</v>
      </c>
      <c r="M915" t="str">
        <f>"18712584"</f>
        <v>18712584</v>
      </c>
      <c r="N915" s="2" t="str">
        <f>"20190415"</f>
        <v>20190415</v>
      </c>
      <c r="O915">
        <v>14</v>
      </c>
      <c r="P915">
        <v>2</v>
      </c>
      <c r="Q915">
        <v>479</v>
      </c>
      <c r="R915">
        <v>27</v>
      </c>
      <c r="S915" t="s">
        <v>6703</v>
      </c>
      <c r="T915" t="s">
        <v>6704</v>
      </c>
      <c r="U915" t="s">
        <v>42</v>
      </c>
      <c r="V915" t="s">
        <v>6705</v>
      </c>
      <c r="X915" t="s">
        <v>6707</v>
      </c>
      <c r="Y915" t="b">
        <f t="shared" si="14"/>
        <v>0</v>
      </c>
    </row>
    <row r="916" spans="1:25" hidden="1">
      <c r="A916" s="11" t="s">
        <v>9939</v>
      </c>
      <c r="B916" t="s">
        <v>69</v>
      </c>
      <c r="C916" s="2" t="s">
        <v>8339</v>
      </c>
      <c r="D916" t="s">
        <v>6709</v>
      </c>
      <c r="E916" t="s">
        <v>6708</v>
      </c>
      <c r="F916" s="20">
        <v>0</v>
      </c>
      <c r="G916" t="s">
        <v>9178</v>
      </c>
      <c r="H916" t="s">
        <v>6712</v>
      </c>
      <c r="K916" t="s">
        <v>101</v>
      </c>
      <c r="L916" t="str">
        <f>"9781303900525"</f>
        <v>9781303900525</v>
      </c>
      <c r="M916" t="str">
        <f>"04194217"</f>
        <v>04194217</v>
      </c>
      <c r="N916" s="2" t="str">
        <f>"20150101"</f>
        <v>20150101</v>
      </c>
      <c r="O916">
        <v>75</v>
      </c>
      <c r="P916" t="s">
        <v>4600</v>
      </c>
      <c r="S916" t="s">
        <v>6710</v>
      </c>
      <c r="U916" t="s">
        <v>68</v>
      </c>
      <c r="V916" t="s">
        <v>6711</v>
      </c>
      <c r="X916" t="s">
        <v>6713</v>
      </c>
      <c r="Y916" t="b">
        <f t="shared" si="14"/>
        <v>0</v>
      </c>
    </row>
    <row r="917" spans="1:25" hidden="1">
      <c r="A917" s="11" t="s">
        <v>9939</v>
      </c>
      <c r="B917" t="s">
        <v>16</v>
      </c>
      <c r="C917" s="2" t="s">
        <v>8339</v>
      </c>
      <c r="D917" t="s">
        <v>6715</v>
      </c>
      <c r="E917" t="s">
        <v>6714</v>
      </c>
      <c r="F917" s="20">
        <v>0</v>
      </c>
      <c r="G917" t="s">
        <v>9178</v>
      </c>
      <c r="H917" t="s">
        <v>6719</v>
      </c>
      <c r="K917" t="s">
        <v>40</v>
      </c>
      <c r="M917" t="str">
        <f>"15571912"</f>
        <v>15571912</v>
      </c>
      <c r="N917" s="2" t="str">
        <f>"20150201"</f>
        <v>20150201</v>
      </c>
      <c r="O917">
        <v>17</v>
      </c>
      <c r="P917">
        <v>1</v>
      </c>
      <c r="Q917">
        <v>156</v>
      </c>
      <c r="R917">
        <v>9</v>
      </c>
      <c r="S917" t="s">
        <v>6716</v>
      </c>
      <c r="T917" t="s">
        <v>6717</v>
      </c>
      <c r="U917" t="s">
        <v>42</v>
      </c>
      <c r="V917" t="s">
        <v>6718</v>
      </c>
      <c r="X917" t="s">
        <v>6720</v>
      </c>
      <c r="Y917" t="b">
        <f t="shared" si="14"/>
        <v>0</v>
      </c>
    </row>
    <row r="918" spans="1:25">
      <c r="A918" s="11" t="s">
        <v>9939</v>
      </c>
      <c r="B918" t="s">
        <v>16</v>
      </c>
      <c r="C918" s="2" t="s">
        <v>8337</v>
      </c>
      <c r="D918" t="s">
        <v>6722</v>
      </c>
      <c r="E918" t="s">
        <v>6721</v>
      </c>
      <c r="F918" s="21">
        <v>1</v>
      </c>
      <c r="H918" t="s">
        <v>6726</v>
      </c>
      <c r="I918">
        <v>0</v>
      </c>
      <c r="J918" t="s">
        <v>9265</v>
      </c>
      <c r="K918" t="s">
        <v>6585</v>
      </c>
      <c r="M918" t="str">
        <f>"15356841"</f>
        <v>15356841</v>
      </c>
      <c r="N918" s="2" t="str">
        <f>"20131201"</f>
        <v>20131201</v>
      </c>
      <c r="O918">
        <v>12</v>
      </c>
      <c r="P918">
        <v>4</v>
      </c>
      <c r="Q918">
        <v>361</v>
      </c>
      <c r="R918">
        <v>19</v>
      </c>
      <c r="S918" t="s">
        <v>6723</v>
      </c>
      <c r="T918" t="s">
        <v>6724</v>
      </c>
      <c r="U918" t="s">
        <v>730</v>
      </c>
      <c r="V918" t="s">
        <v>6725</v>
      </c>
      <c r="X918" t="s">
        <v>6727</v>
      </c>
      <c r="Y918" t="b">
        <f t="shared" si="14"/>
        <v>0</v>
      </c>
    </row>
    <row r="919" spans="1:25" hidden="1">
      <c r="A919" s="11" t="s">
        <v>9939</v>
      </c>
      <c r="B919" t="s">
        <v>69</v>
      </c>
      <c r="C919" s="2" t="s">
        <v>8344</v>
      </c>
      <c r="D919" t="s">
        <v>6729</v>
      </c>
      <c r="E919" t="s">
        <v>6728</v>
      </c>
      <c r="H919" t="s">
        <v>6732</v>
      </c>
      <c r="K919" t="s">
        <v>101</v>
      </c>
      <c r="L919" t="str">
        <f>"9781109243697"</f>
        <v>9781109243697</v>
      </c>
      <c r="M919" t="str">
        <f>"04194217"</f>
        <v>04194217</v>
      </c>
      <c r="N919" s="2" t="str">
        <f>"20100101"</f>
        <v>20100101</v>
      </c>
      <c r="O919">
        <v>70</v>
      </c>
      <c r="P919" t="s">
        <v>2216</v>
      </c>
      <c r="Q919">
        <v>4492</v>
      </c>
      <c r="R919">
        <v>1</v>
      </c>
      <c r="S919" t="s">
        <v>6730</v>
      </c>
      <c r="U919" t="s">
        <v>68</v>
      </c>
      <c r="V919" t="s">
        <v>6731</v>
      </c>
      <c r="X919" t="s">
        <v>6733</v>
      </c>
      <c r="Y919" t="b">
        <f t="shared" si="14"/>
        <v>1</v>
      </c>
    </row>
    <row r="920" spans="1:25" hidden="1">
      <c r="A920" s="11" t="s">
        <v>9939</v>
      </c>
      <c r="B920" t="s">
        <v>16</v>
      </c>
      <c r="C920" s="2" t="s">
        <v>8344</v>
      </c>
      <c r="D920" t="s">
        <v>6735</v>
      </c>
      <c r="E920" t="s">
        <v>6734</v>
      </c>
      <c r="H920" t="s">
        <v>6739</v>
      </c>
      <c r="K920" t="s">
        <v>2826</v>
      </c>
      <c r="M920" t="str">
        <f>"18344909"</f>
        <v>18344909</v>
      </c>
      <c r="N920" s="2" t="str">
        <f>"20100501"</f>
        <v>20100501</v>
      </c>
      <c r="O920">
        <v>4</v>
      </c>
      <c r="P920">
        <v>1</v>
      </c>
      <c r="Q920">
        <v>30</v>
      </c>
      <c r="R920">
        <v>14</v>
      </c>
      <c r="S920" t="s">
        <v>6736</v>
      </c>
      <c r="T920" t="s">
        <v>6737</v>
      </c>
      <c r="U920" t="s">
        <v>333</v>
      </c>
      <c r="V920" t="s">
        <v>6738</v>
      </c>
      <c r="X920" t="s">
        <v>6740</v>
      </c>
      <c r="Y920" t="b">
        <f t="shared" si="14"/>
        <v>1</v>
      </c>
    </row>
    <row r="921" spans="1:25">
      <c r="A921" s="11" t="s">
        <v>9939</v>
      </c>
      <c r="B921" t="s">
        <v>16</v>
      </c>
      <c r="C921" s="2" t="s">
        <v>8343</v>
      </c>
      <c r="D921" t="s">
        <v>6742</v>
      </c>
      <c r="E921" t="s">
        <v>6741</v>
      </c>
      <c r="F921" s="21">
        <v>1</v>
      </c>
      <c r="H921" t="s">
        <v>6746</v>
      </c>
      <c r="I921">
        <v>1</v>
      </c>
      <c r="K921" t="s">
        <v>132</v>
      </c>
      <c r="M921" t="str">
        <f>"01471767"</f>
        <v>01471767</v>
      </c>
      <c r="N921" s="2" t="str">
        <f>"20170901"</f>
        <v>20170901</v>
      </c>
      <c r="O921">
        <v>60</v>
      </c>
      <c r="Q921">
        <v>210</v>
      </c>
      <c r="R921">
        <v>10</v>
      </c>
      <c r="S921" t="s">
        <v>6743</v>
      </c>
      <c r="T921" t="s">
        <v>6744</v>
      </c>
      <c r="U921" t="s">
        <v>34</v>
      </c>
      <c r="V921" t="s">
        <v>6745</v>
      </c>
      <c r="X921" t="s">
        <v>6747</v>
      </c>
      <c r="Y921" t="b">
        <f t="shared" si="14"/>
        <v>0</v>
      </c>
    </row>
    <row r="922" spans="1:25">
      <c r="A922" s="11" t="s">
        <v>9939</v>
      </c>
      <c r="B922" t="s">
        <v>16</v>
      </c>
      <c r="C922" s="2" t="s">
        <v>8336</v>
      </c>
      <c r="D922" t="s">
        <v>6749</v>
      </c>
      <c r="E922" t="s">
        <v>6748</v>
      </c>
      <c r="F922" s="21">
        <v>1</v>
      </c>
      <c r="H922" t="s">
        <v>6754</v>
      </c>
      <c r="I922">
        <v>0</v>
      </c>
      <c r="J922" t="s">
        <v>9265</v>
      </c>
      <c r="K922" t="s">
        <v>6750</v>
      </c>
      <c r="M922" t="str">
        <f>"07481187"</f>
        <v>07481187</v>
      </c>
      <c r="N922" s="2" t="str">
        <f>"20070101"</f>
        <v>20070101</v>
      </c>
      <c r="O922">
        <v>31</v>
      </c>
      <c r="P922">
        <v>1</v>
      </c>
      <c r="Q922">
        <v>45</v>
      </c>
      <c r="R922">
        <v>22</v>
      </c>
      <c r="S922" t="s">
        <v>6751</v>
      </c>
      <c r="T922" t="s">
        <v>6752</v>
      </c>
      <c r="U922" t="s">
        <v>87</v>
      </c>
      <c r="V922" t="s">
        <v>6753</v>
      </c>
      <c r="X922" t="s">
        <v>6755</v>
      </c>
      <c r="Y922" t="b">
        <f t="shared" si="14"/>
        <v>0</v>
      </c>
    </row>
    <row r="923" spans="1:25" hidden="1">
      <c r="A923" s="11" t="s">
        <v>9939</v>
      </c>
      <c r="B923" t="s">
        <v>16</v>
      </c>
      <c r="C923" s="2" t="s">
        <v>8342</v>
      </c>
      <c r="D923" t="s">
        <v>6757</v>
      </c>
      <c r="E923" t="s">
        <v>6756</v>
      </c>
      <c r="F923" s="20">
        <v>0</v>
      </c>
      <c r="G923" t="s">
        <v>9178</v>
      </c>
      <c r="H923" t="s">
        <v>6762</v>
      </c>
      <c r="K923" t="s">
        <v>6758</v>
      </c>
      <c r="M923" t="str">
        <f>"00332917"</f>
        <v>00332917</v>
      </c>
      <c r="N923" s="2" t="str">
        <f>"20120601"</f>
        <v>20120601</v>
      </c>
      <c r="O923">
        <v>42</v>
      </c>
      <c r="P923">
        <v>6</v>
      </c>
      <c r="Q923">
        <v>1175</v>
      </c>
      <c r="R923">
        <v>10</v>
      </c>
      <c r="S923" t="s">
        <v>6759</v>
      </c>
      <c r="T923" t="s">
        <v>6760</v>
      </c>
      <c r="U923" t="s">
        <v>333</v>
      </c>
      <c r="V923" t="s">
        <v>6761</v>
      </c>
      <c r="X923" t="s">
        <v>6763</v>
      </c>
      <c r="Y923" t="b">
        <f t="shared" si="14"/>
        <v>0</v>
      </c>
    </row>
    <row r="924" spans="1:25" hidden="1">
      <c r="A924" s="11" t="s">
        <v>9939</v>
      </c>
      <c r="B924" t="s">
        <v>16</v>
      </c>
      <c r="C924" s="2" t="s">
        <v>8347</v>
      </c>
      <c r="D924" t="s">
        <v>6765</v>
      </c>
      <c r="E924" t="s">
        <v>6764</v>
      </c>
      <c r="F924" s="20">
        <v>0</v>
      </c>
      <c r="G924" t="s">
        <v>9249</v>
      </c>
      <c r="H924" t="s">
        <v>6770</v>
      </c>
      <c r="K924" t="s">
        <v>6766</v>
      </c>
      <c r="M924" t="str">
        <f>"00208701"</f>
        <v>00208701</v>
      </c>
      <c r="N924" s="2" t="str">
        <f>"20080601"</f>
        <v>20080601</v>
      </c>
      <c r="O924">
        <v>59</v>
      </c>
      <c r="P924">
        <v>192</v>
      </c>
      <c r="Q924">
        <v>269</v>
      </c>
      <c r="R924">
        <v>13</v>
      </c>
      <c r="S924" t="s">
        <v>6767</v>
      </c>
      <c r="T924" t="s">
        <v>6768</v>
      </c>
      <c r="U924" t="s">
        <v>730</v>
      </c>
      <c r="V924" t="s">
        <v>6769</v>
      </c>
      <c r="X924" t="s">
        <v>6771</v>
      </c>
      <c r="Y924" t="b">
        <f t="shared" si="14"/>
        <v>0</v>
      </c>
    </row>
    <row r="925" spans="1:25" hidden="1">
      <c r="A925" s="11" t="s">
        <v>9939</v>
      </c>
      <c r="B925" t="s">
        <v>16</v>
      </c>
      <c r="C925" s="2" t="s">
        <v>8349</v>
      </c>
      <c r="D925" t="s">
        <v>6773</v>
      </c>
      <c r="E925" t="s">
        <v>6772</v>
      </c>
      <c r="F925" s="20">
        <v>0</v>
      </c>
      <c r="G925" t="s">
        <v>9249</v>
      </c>
      <c r="H925" t="s">
        <v>6778</v>
      </c>
      <c r="K925" t="s">
        <v>6774</v>
      </c>
      <c r="M925" t="str">
        <f>"09567976"</f>
        <v>09567976</v>
      </c>
      <c r="N925" s="2" t="str">
        <f>"20190201"</f>
        <v>20190201</v>
      </c>
      <c r="O925">
        <v>30</v>
      </c>
      <c r="P925">
        <v>2</v>
      </c>
      <c r="Q925">
        <v>238</v>
      </c>
      <c r="R925">
        <v>12</v>
      </c>
      <c r="S925" t="s">
        <v>6775</v>
      </c>
      <c r="T925" t="s">
        <v>6776</v>
      </c>
      <c r="U925" t="s">
        <v>15</v>
      </c>
      <c r="V925" t="s">
        <v>6777</v>
      </c>
      <c r="X925" t="s">
        <v>6779</v>
      </c>
      <c r="Y925" t="b">
        <f t="shared" si="14"/>
        <v>0</v>
      </c>
    </row>
    <row r="926" spans="1:25">
      <c r="A926" s="11" t="s">
        <v>9939</v>
      </c>
      <c r="B926" t="s">
        <v>16</v>
      </c>
      <c r="C926" s="2" t="s">
        <v>8341</v>
      </c>
      <c r="D926" t="s">
        <v>6781</v>
      </c>
      <c r="E926" t="s">
        <v>6780</v>
      </c>
      <c r="F926" s="21">
        <v>1</v>
      </c>
      <c r="H926" t="s">
        <v>6785</v>
      </c>
      <c r="I926">
        <v>1</v>
      </c>
      <c r="K926" t="s">
        <v>252</v>
      </c>
      <c r="M926" t="str">
        <f>"00220221"</f>
        <v>00220221</v>
      </c>
      <c r="N926" s="2" t="str">
        <f>"20090901"</f>
        <v>20090901</v>
      </c>
      <c r="O926">
        <v>40</v>
      </c>
      <c r="P926">
        <v>5</v>
      </c>
      <c r="Q926">
        <v>853</v>
      </c>
      <c r="R926">
        <v>22</v>
      </c>
      <c r="S926" t="s">
        <v>6782</v>
      </c>
      <c r="T926" t="s">
        <v>6783</v>
      </c>
      <c r="U926" t="s">
        <v>15</v>
      </c>
      <c r="V926" t="s">
        <v>6784</v>
      </c>
      <c r="X926" t="s">
        <v>6786</v>
      </c>
      <c r="Y926" t="b">
        <f t="shared" si="14"/>
        <v>0</v>
      </c>
    </row>
    <row r="927" spans="1:25" hidden="1">
      <c r="A927" s="11" t="s">
        <v>9939</v>
      </c>
      <c r="B927" t="s">
        <v>16</v>
      </c>
      <c r="C927" s="2" t="s">
        <v>8352</v>
      </c>
      <c r="D927" t="s">
        <v>6788</v>
      </c>
      <c r="E927" t="s">
        <v>6787</v>
      </c>
      <c r="F927" s="20">
        <v>0</v>
      </c>
      <c r="G927" t="s">
        <v>9178</v>
      </c>
      <c r="H927" t="s">
        <v>6792</v>
      </c>
      <c r="K927" t="s">
        <v>197</v>
      </c>
      <c r="M927" t="str">
        <f>"10436596"</f>
        <v>10436596</v>
      </c>
      <c r="N927" s="2" t="str">
        <f>"20031001"</f>
        <v>20031001</v>
      </c>
      <c r="O927">
        <v>14</v>
      </c>
      <c r="P927">
        <v>4</v>
      </c>
      <c r="Q927">
        <v>321</v>
      </c>
      <c r="R927">
        <v>8</v>
      </c>
      <c r="S927" t="s">
        <v>6789</v>
      </c>
      <c r="T927" t="s">
        <v>6790</v>
      </c>
      <c r="U927" t="s">
        <v>15</v>
      </c>
      <c r="V927" t="s">
        <v>6791</v>
      </c>
      <c r="X927" t="s">
        <v>6793</v>
      </c>
      <c r="Y927" t="b">
        <f t="shared" si="14"/>
        <v>0</v>
      </c>
    </row>
    <row r="928" spans="1:25">
      <c r="A928" s="11" t="s">
        <v>9939</v>
      </c>
      <c r="B928" t="s">
        <v>16</v>
      </c>
      <c r="C928" s="2" t="s">
        <v>8340</v>
      </c>
      <c r="D928" t="s">
        <v>6795</v>
      </c>
      <c r="E928" t="s">
        <v>6794</v>
      </c>
      <c r="F928" s="21">
        <v>1</v>
      </c>
      <c r="H928" t="s">
        <v>6801</v>
      </c>
      <c r="I928">
        <v>1</v>
      </c>
      <c r="K928" t="s">
        <v>6796</v>
      </c>
      <c r="M928" t="str">
        <f>"00335177"</f>
        <v>00335177</v>
      </c>
      <c r="N928" s="2" t="str">
        <f>"20181201"</f>
        <v>20181201</v>
      </c>
      <c r="O928">
        <v>52</v>
      </c>
      <c r="P928" t="s">
        <v>6797</v>
      </c>
      <c r="Q928">
        <v>1437</v>
      </c>
      <c r="R928">
        <v>7</v>
      </c>
      <c r="S928" t="s">
        <v>6798</v>
      </c>
      <c r="T928" t="s">
        <v>6799</v>
      </c>
      <c r="U928" t="s">
        <v>42</v>
      </c>
      <c r="V928" t="s">
        <v>6800</v>
      </c>
      <c r="X928" t="s">
        <v>6802</v>
      </c>
      <c r="Y928" t="b">
        <f t="shared" si="14"/>
        <v>0</v>
      </c>
    </row>
    <row r="929" spans="1:25" hidden="1">
      <c r="A929" s="11" t="s">
        <v>9939</v>
      </c>
      <c r="B929" t="s">
        <v>16</v>
      </c>
      <c r="C929" s="2" t="s">
        <v>8353</v>
      </c>
      <c r="D929" t="s">
        <v>6804</v>
      </c>
      <c r="E929" t="s">
        <v>6803</v>
      </c>
      <c r="H929" t="s">
        <v>6808</v>
      </c>
      <c r="K929" t="s">
        <v>2826</v>
      </c>
      <c r="M929" t="str">
        <f>"18344909"</f>
        <v>18344909</v>
      </c>
      <c r="N929" s="2" t="str">
        <f>"20160407"</f>
        <v>20160407</v>
      </c>
      <c r="O929">
        <v>10</v>
      </c>
      <c r="S929" t="s">
        <v>6805</v>
      </c>
      <c r="T929" t="s">
        <v>6806</v>
      </c>
      <c r="U929" t="s">
        <v>333</v>
      </c>
      <c r="V929" t="s">
        <v>6807</v>
      </c>
      <c r="X929" t="s">
        <v>6809</v>
      </c>
      <c r="Y929" t="b">
        <f t="shared" si="14"/>
        <v>1</v>
      </c>
    </row>
    <row r="930" spans="1:25">
      <c r="A930" s="11" t="s">
        <v>9939</v>
      </c>
      <c r="B930" t="s">
        <v>16</v>
      </c>
      <c r="C930" s="2" t="s">
        <v>8337</v>
      </c>
      <c r="D930" t="s">
        <v>6811</v>
      </c>
      <c r="E930" t="s">
        <v>6810</v>
      </c>
      <c r="F930" s="21">
        <v>1</v>
      </c>
      <c r="H930" t="s">
        <v>6815</v>
      </c>
      <c r="I930">
        <v>1</v>
      </c>
      <c r="K930" t="s">
        <v>132</v>
      </c>
      <c r="M930" t="str">
        <f>"01471767"</f>
        <v>01471767</v>
      </c>
      <c r="N930" s="2" t="str">
        <f>"20130901"</f>
        <v>20130901</v>
      </c>
      <c r="O930">
        <v>37</v>
      </c>
      <c r="P930">
        <v>5</v>
      </c>
      <c r="Q930">
        <v>643</v>
      </c>
      <c r="R930">
        <v>5</v>
      </c>
      <c r="S930" t="s">
        <v>6812</v>
      </c>
      <c r="T930" t="s">
        <v>6813</v>
      </c>
      <c r="U930" t="s">
        <v>34</v>
      </c>
      <c r="V930" t="s">
        <v>6814</v>
      </c>
      <c r="X930" t="s">
        <v>6816</v>
      </c>
      <c r="Y930" t="b">
        <f t="shared" si="14"/>
        <v>0</v>
      </c>
    </row>
    <row r="931" spans="1:25">
      <c r="A931" s="11" t="s">
        <v>9939</v>
      </c>
      <c r="B931" t="s">
        <v>16</v>
      </c>
      <c r="C931" s="2" t="s">
        <v>8346</v>
      </c>
      <c r="D931" t="s">
        <v>6818</v>
      </c>
      <c r="E931" t="s">
        <v>6817</v>
      </c>
      <c r="F931" s="21">
        <v>1</v>
      </c>
      <c r="H931" t="s">
        <v>6822</v>
      </c>
      <c r="I931">
        <v>0</v>
      </c>
      <c r="J931" t="s">
        <v>9249</v>
      </c>
      <c r="K931" t="s">
        <v>802</v>
      </c>
      <c r="M931" t="str">
        <f>"00224545"</f>
        <v>00224545</v>
      </c>
      <c r="N931" s="2" t="str">
        <f>"20110201"</f>
        <v>20110201</v>
      </c>
      <c r="O931">
        <v>151</v>
      </c>
      <c r="P931">
        <v>2</v>
      </c>
      <c r="Q931">
        <v>117</v>
      </c>
      <c r="R931">
        <v>4</v>
      </c>
      <c r="S931" t="s">
        <v>6819</v>
      </c>
      <c r="T931" t="s">
        <v>6820</v>
      </c>
      <c r="U931" t="s">
        <v>87</v>
      </c>
      <c r="V931" t="s">
        <v>6821</v>
      </c>
      <c r="X931" t="s">
        <v>6823</v>
      </c>
      <c r="Y931" t="b">
        <f t="shared" si="14"/>
        <v>0</v>
      </c>
    </row>
    <row r="932" spans="1:25" hidden="1">
      <c r="A932" s="11" t="s">
        <v>9939</v>
      </c>
      <c r="B932" t="s">
        <v>16</v>
      </c>
      <c r="C932" s="2" t="s">
        <v>8353</v>
      </c>
      <c r="D932" t="s">
        <v>6825</v>
      </c>
      <c r="E932" t="s">
        <v>6824</v>
      </c>
      <c r="F932" s="20">
        <v>0</v>
      </c>
      <c r="G932" t="s">
        <v>9237</v>
      </c>
      <c r="H932" t="s">
        <v>6829</v>
      </c>
      <c r="K932" t="s">
        <v>2402</v>
      </c>
      <c r="M932" t="str">
        <f>"00027642"</f>
        <v>00027642</v>
      </c>
      <c r="N932" s="2" t="str">
        <f>"20160901"</f>
        <v>20160901</v>
      </c>
      <c r="O932">
        <v>60</v>
      </c>
      <c r="P932">
        <v>10</v>
      </c>
      <c r="Q932">
        <v>1215</v>
      </c>
      <c r="R932">
        <v>17</v>
      </c>
      <c r="S932" t="s">
        <v>6826</v>
      </c>
      <c r="T932" t="s">
        <v>6827</v>
      </c>
      <c r="U932" t="s">
        <v>15</v>
      </c>
      <c r="V932" t="s">
        <v>6828</v>
      </c>
      <c r="X932" t="s">
        <v>6830</v>
      </c>
      <c r="Y932" t="b">
        <f t="shared" si="14"/>
        <v>0</v>
      </c>
    </row>
    <row r="933" spans="1:25">
      <c r="A933" s="11" t="s">
        <v>9939</v>
      </c>
      <c r="B933" t="s">
        <v>16</v>
      </c>
      <c r="C933" s="2" t="s">
        <v>8340</v>
      </c>
      <c r="D933" t="s">
        <v>6832</v>
      </c>
      <c r="E933" t="s">
        <v>6831</v>
      </c>
      <c r="F933" s="21">
        <v>1</v>
      </c>
      <c r="H933" t="s">
        <v>6836</v>
      </c>
      <c r="I933">
        <v>0</v>
      </c>
      <c r="J933" t="s">
        <v>9245</v>
      </c>
      <c r="K933" t="s">
        <v>470</v>
      </c>
      <c r="M933" t="str">
        <f>"00029432"</f>
        <v>00029432</v>
      </c>
      <c r="N933" s="2" t="str">
        <f>"20180101"</f>
        <v>20180101</v>
      </c>
      <c r="O933">
        <v>88</v>
      </c>
      <c r="P933">
        <v>6</v>
      </c>
      <c r="Q933">
        <v>650</v>
      </c>
      <c r="R933">
        <v>11</v>
      </c>
      <c r="S933" t="s">
        <v>6833</v>
      </c>
      <c r="T933" t="s">
        <v>6834</v>
      </c>
      <c r="U933" t="s">
        <v>183</v>
      </c>
      <c r="V933" t="s">
        <v>6835</v>
      </c>
      <c r="X933" t="s">
        <v>6837</v>
      </c>
      <c r="Y933" t="b">
        <f t="shared" si="14"/>
        <v>0</v>
      </c>
    </row>
    <row r="934" spans="1:25" hidden="1">
      <c r="A934" s="11" t="s">
        <v>9939</v>
      </c>
      <c r="B934" t="s">
        <v>16</v>
      </c>
      <c r="C934" s="2" t="s">
        <v>8353</v>
      </c>
      <c r="D934" t="s">
        <v>6839</v>
      </c>
      <c r="E934" t="s">
        <v>6838</v>
      </c>
      <c r="H934" t="s">
        <v>6843</v>
      </c>
      <c r="K934" t="s">
        <v>810</v>
      </c>
      <c r="M934" t="str">
        <f>"00462772"</f>
        <v>00462772</v>
      </c>
      <c r="N934" s="2" t="str">
        <f>"20160601"</f>
        <v>20160601</v>
      </c>
      <c r="O934">
        <v>46</v>
      </c>
      <c r="P934">
        <v>4</v>
      </c>
      <c r="Q934">
        <v>441</v>
      </c>
      <c r="R934">
        <v>14</v>
      </c>
      <c r="S934" t="s">
        <v>6840</v>
      </c>
      <c r="T934" t="s">
        <v>6841</v>
      </c>
      <c r="U934" t="s">
        <v>224</v>
      </c>
      <c r="V934" t="s">
        <v>6842</v>
      </c>
      <c r="X934" t="s">
        <v>6844</v>
      </c>
      <c r="Y934" t="b">
        <f t="shared" si="14"/>
        <v>1</v>
      </c>
    </row>
    <row r="935" spans="1:25" hidden="1">
      <c r="A935" s="11" t="s">
        <v>9939</v>
      </c>
      <c r="B935" t="s">
        <v>16</v>
      </c>
      <c r="C935" s="2" t="s">
        <v>8340</v>
      </c>
      <c r="D935" t="s">
        <v>6846</v>
      </c>
      <c r="E935" t="s">
        <v>6845</v>
      </c>
      <c r="H935" t="s">
        <v>6850</v>
      </c>
      <c r="K935" t="s">
        <v>252</v>
      </c>
      <c r="M935" t="str">
        <f>"00220221"</f>
        <v>00220221</v>
      </c>
      <c r="N935" s="2" t="str">
        <f>"20180701"</f>
        <v>20180701</v>
      </c>
      <c r="O935">
        <v>49</v>
      </c>
      <c r="P935">
        <v>6</v>
      </c>
      <c r="Q935">
        <v>924</v>
      </c>
      <c r="R935">
        <v>21</v>
      </c>
      <c r="S935" t="s">
        <v>6847</v>
      </c>
      <c r="T935" t="s">
        <v>6848</v>
      </c>
      <c r="U935" t="s">
        <v>15</v>
      </c>
      <c r="V935" t="s">
        <v>6849</v>
      </c>
      <c r="X935" t="s">
        <v>6851</v>
      </c>
      <c r="Y935" t="b">
        <f t="shared" si="14"/>
        <v>1</v>
      </c>
    </row>
    <row r="936" spans="1:25">
      <c r="A936" s="11" t="s">
        <v>9939</v>
      </c>
      <c r="B936" t="s">
        <v>16</v>
      </c>
      <c r="C936" s="2" t="s">
        <v>8341</v>
      </c>
      <c r="D936" t="s">
        <v>6853</v>
      </c>
      <c r="E936" t="s">
        <v>6852</v>
      </c>
      <c r="F936" s="21">
        <v>1</v>
      </c>
      <c r="H936" t="s">
        <v>6857</v>
      </c>
      <c r="I936">
        <v>1</v>
      </c>
      <c r="K936" t="s">
        <v>370</v>
      </c>
      <c r="M936" t="str">
        <f>"00207594"</f>
        <v>00207594</v>
      </c>
      <c r="N936" s="2" t="str">
        <f>"20090601"</f>
        <v>20090601</v>
      </c>
      <c r="O936">
        <v>44</v>
      </c>
      <c r="P936">
        <v>3</v>
      </c>
      <c r="Q936">
        <v>170</v>
      </c>
      <c r="R936">
        <v>9</v>
      </c>
      <c r="S936" t="s">
        <v>6854</v>
      </c>
      <c r="T936" t="s">
        <v>6855</v>
      </c>
      <c r="U936" t="s">
        <v>87</v>
      </c>
      <c r="V936" t="s">
        <v>6856</v>
      </c>
      <c r="X936" t="s">
        <v>6858</v>
      </c>
      <c r="Y936" t="b">
        <f t="shared" si="14"/>
        <v>0</v>
      </c>
    </row>
    <row r="937" spans="1:25">
      <c r="A937" s="11" t="s">
        <v>9939</v>
      </c>
      <c r="B937" t="s">
        <v>16</v>
      </c>
      <c r="C937" s="2" t="s">
        <v>8353</v>
      </c>
      <c r="D937" t="s">
        <v>6860</v>
      </c>
      <c r="E937" t="s">
        <v>6859</v>
      </c>
      <c r="F937" s="21">
        <v>1</v>
      </c>
      <c r="H937" t="s">
        <v>6864</v>
      </c>
      <c r="I937">
        <v>1</v>
      </c>
      <c r="K937" t="s">
        <v>40</v>
      </c>
      <c r="M937" t="str">
        <f>"15571912"</f>
        <v>15571912</v>
      </c>
      <c r="N937" s="2" t="str">
        <f>"20161201"</f>
        <v>20161201</v>
      </c>
      <c r="O937">
        <v>18</v>
      </c>
      <c r="P937">
        <v>6</v>
      </c>
      <c r="Q937">
        <v>1301</v>
      </c>
      <c r="R937">
        <v>8</v>
      </c>
      <c r="S937" t="s">
        <v>6861</v>
      </c>
      <c r="T937" t="s">
        <v>6862</v>
      </c>
      <c r="U937" t="s">
        <v>42</v>
      </c>
      <c r="V937" t="s">
        <v>6863</v>
      </c>
      <c r="X937" t="s">
        <v>6865</v>
      </c>
      <c r="Y937" t="b">
        <f t="shared" si="14"/>
        <v>0</v>
      </c>
    </row>
    <row r="938" spans="1:25">
      <c r="A938" s="11" t="s">
        <v>9939</v>
      </c>
      <c r="B938" t="s">
        <v>16</v>
      </c>
      <c r="C938" s="2" t="s">
        <v>8342</v>
      </c>
      <c r="D938" t="s">
        <v>6867</v>
      </c>
      <c r="E938" t="s">
        <v>6866</v>
      </c>
      <c r="F938" s="21">
        <v>1</v>
      </c>
      <c r="H938" t="s">
        <v>6873</v>
      </c>
      <c r="I938">
        <v>1</v>
      </c>
      <c r="K938" t="s">
        <v>6868</v>
      </c>
      <c r="M938" t="str">
        <f>"20476302"</f>
        <v>20476302</v>
      </c>
      <c r="N938" s="2" t="str">
        <f>"20120801"</f>
        <v>20120801</v>
      </c>
      <c r="O938">
        <v>7</v>
      </c>
      <c r="P938">
        <v>4</v>
      </c>
      <c r="Q938" t="s">
        <v>6869</v>
      </c>
      <c r="R938">
        <v>4</v>
      </c>
      <c r="S938" t="s">
        <v>6870</v>
      </c>
      <c r="T938" t="s">
        <v>6871</v>
      </c>
      <c r="U938" t="s">
        <v>730</v>
      </c>
      <c r="V938" t="s">
        <v>6872</v>
      </c>
      <c r="X938" t="s">
        <v>6874</v>
      </c>
      <c r="Y938" t="b">
        <f t="shared" si="14"/>
        <v>0</v>
      </c>
    </row>
    <row r="939" spans="1:25" hidden="1">
      <c r="A939" s="11" t="s">
        <v>9939</v>
      </c>
      <c r="B939" t="s">
        <v>16</v>
      </c>
      <c r="C939" s="2" t="s">
        <v>8339</v>
      </c>
      <c r="D939" t="s">
        <v>6876</v>
      </c>
      <c r="E939" t="s">
        <v>6875</v>
      </c>
      <c r="H939" t="s">
        <v>6880</v>
      </c>
      <c r="K939" t="s">
        <v>970</v>
      </c>
      <c r="M939" t="str">
        <f>"10999809"</f>
        <v>10999809</v>
      </c>
      <c r="N939" s="2" t="str">
        <f>"20150701"</f>
        <v>20150701</v>
      </c>
      <c r="O939">
        <v>21</v>
      </c>
      <c r="P939">
        <v>3</v>
      </c>
      <c r="Q939">
        <v>468</v>
      </c>
      <c r="R939">
        <v>9</v>
      </c>
      <c r="S939" t="s">
        <v>6877</v>
      </c>
      <c r="T939" t="s">
        <v>6878</v>
      </c>
      <c r="U939" t="s">
        <v>183</v>
      </c>
      <c r="V939" t="s">
        <v>6879</v>
      </c>
      <c r="X939" t="s">
        <v>6881</v>
      </c>
      <c r="Y939" t="b">
        <f t="shared" si="14"/>
        <v>1</v>
      </c>
    </row>
    <row r="940" spans="1:25">
      <c r="A940" s="11" t="s">
        <v>9939</v>
      </c>
      <c r="B940" t="s">
        <v>16</v>
      </c>
      <c r="C940" s="2" t="s">
        <v>8339</v>
      </c>
      <c r="D940" t="s">
        <v>6883</v>
      </c>
      <c r="E940" t="s">
        <v>6882</v>
      </c>
      <c r="F940" s="21">
        <v>1</v>
      </c>
      <c r="H940" t="s">
        <v>6887</v>
      </c>
      <c r="I940">
        <v>1</v>
      </c>
      <c r="K940" t="s">
        <v>2180</v>
      </c>
      <c r="M940" t="str">
        <f>"09337954"</f>
        <v>09337954</v>
      </c>
      <c r="N940" s="2" t="str">
        <f>"20150701"</f>
        <v>20150701</v>
      </c>
      <c r="O940">
        <v>50</v>
      </c>
      <c r="P940">
        <v>7</v>
      </c>
      <c r="Q940">
        <v>1135</v>
      </c>
      <c r="R940">
        <v>10</v>
      </c>
      <c r="S940" t="s">
        <v>6884</v>
      </c>
      <c r="T940" t="s">
        <v>6885</v>
      </c>
      <c r="U940" t="s">
        <v>42</v>
      </c>
      <c r="V940" t="s">
        <v>6886</v>
      </c>
      <c r="X940" t="s">
        <v>6888</v>
      </c>
      <c r="Y940" t="b">
        <f t="shared" si="14"/>
        <v>0</v>
      </c>
    </row>
    <row r="941" spans="1:25">
      <c r="A941" s="11" t="s">
        <v>9939</v>
      </c>
      <c r="B941" t="s">
        <v>16</v>
      </c>
      <c r="C941" s="2" t="s">
        <v>8353</v>
      </c>
      <c r="D941" t="s">
        <v>6890</v>
      </c>
      <c r="E941" t="s">
        <v>6889</v>
      </c>
      <c r="F941" s="21">
        <v>1</v>
      </c>
      <c r="H941" t="s">
        <v>6894</v>
      </c>
      <c r="I941">
        <v>1</v>
      </c>
      <c r="K941" t="s">
        <v>40</v>
      </c>
      <c r="M941" t="str">
        <f>"15571912"</f>
        <v>15571912</v>
      </c>
      <c r="N941" s="2" t="str">
        <f>"20161001"</f>
        <v>20161001</v>
      </c>
      <c r="O941">
        <v>18</v>
      </c>
      <c r="P941">
        <v>5</v>
      </c>
      <c r="Q941">
        <v>1232</v>
      </c>
      <c r="R941">
        <v>5</v>
      </c>
      <c r="S941" t="s">
        <v>6891</v>
      </c>
      <c r="T941" t="s">
        <v>6892</v>
      </c>
      <c r="U941" t="s">
        <v>42</v>
      </c>
      <c r="V941" t="s">
        <v>6893</v>
      </c>
      <c r="X941" t="s">
        <v>6895</v>
      </c>
      <c r="Y941" t="b">
        <f t="shared" si="14"/>
        <v>0</v>
      </c>
    </row>
    <row r="942" spans="1:25" hidden="1">
      <c r="A942" s="11" t="s">
        <v>9939</v>
      </c>
      <c r="B942" t="s">
        <v>16</v>
      </c>
      <c r="C942" s="2" t="s">
        <v>8353</v>
      </c>
      <c r="D942" t="s">
        <v>6897</v>
      </c>
      <c r="E942" t="s">
        <v>6896</v>
      </c>
      <c r="H942" t="s">
        <v>6901</v>
      </c>
      <c r="K942" t="s">
        <v>5670</v>
      </c>
      <c r="M942" t="str">
        <f>"01638343"</f>
        <v>01638343</v>
      </c>
      <c r="N942" s="2" t="str">
        <f>"20160101"</f>
        <v>20160101</v>
      </c>
      <c r="O942">
        <v>38</v>
      </c>
      <c r="Q942">
        <v>26</v>
      </c>
      <c r="R942">
        <v>5</v>
      </c>
      <c r="S942" t="s">
        <v>6898</v>
      </c>
      <c r="T942" t="s">
        <v>6899</v>
      </c>
      <c r="U942" t="s">
        <v>34</v>
      </c>
      <c r="V942" t="s">
        <v>6900</v>
      </c>
      <c r="X942" t="s">
        <v>6902</v>
      </c>
      <c r="Y942" t="b">
        <f t="shared" si="14"/>
        <v>1</v>
      </c>
    </row>
    <row r="943" spans="1:25" hidden="1">
      <c r="A943" s="11" t="s">
        <v>9939</v>
      </c>
      <c r="B943" t="s">
        <v>16</v>
      </c>
      <c r="C943" s="2" t="s">
        <v>8337</v>
      </c>
      <c r="D943" t="s">
        <v>6904</v>
      </c>
      <c r="E943" t="s">
        <v>6903</v>
      </c>
      <c r="F943" s="20">
        <v>0</v>
      </c>
      <c r="G943" t="s">
        <v>9178</v>
      </c>
      <c r="H943" t="s">
        <v>6909</v>
      </c>
      <c r="K943" t="s">
        <v>6905</v>
      </c>
      <c r="M943" t="str">
        <f>"00917435"</f>
        <v>00917435</v>
      </c>
      <c r="N943" s="2" t="str">
        <f>"20131001"</f>
        <v>20131001</v>
      </c>
      <c r="O943">
        <v>57</v>
      </c>
      <c r="P943">
        <v>4</v>
      </c>
      <c r="Q943">
        <v>315</v>
      </c>
      <c r="R943">
        <v>7</v>
      </c>
      <c r="S943" t="s">
        <v>6906</v>
      </c>
      <c r="T943" t="s">
        <v>6907</v>
      </c>
      <c r="U943" t="s">
        <v>34</v>
      </c>
      <c r="V943" t="s">
        <v>6908</v>
      </c>
      <c r="X943" t="s">
        <v>6910</v>
      </c>
      <c r="Y943" t="b">
        <f t="shared" si="14"/>
        <v>0</v>
      </c>
    </row>
    <row r="944" spans="1:25">
      <c r="A944" s="11" t="s">
        <v>9939</v>
      </c>
      <c r="B944" t="s">
        <v>69</v>
      </c>
      <c r="C944" s="2" t="s">
        <v>8345</v>
      </c>
      <c r="D944" t="s">
        <v>6912</v>
      </c>
      <c r="E944" t="s">
        <v>6911</v>
      </c>
      <c r="F944" s="21">
        <v>1</v>
      </c>
      <c r="H944" t="s">
        <v>6915</v>
      </c>
      <c r="I944">
        <v>1</v>
      </c>
      <c r="K944" t="s">
        <v>101</v>
      </c>
      <c r="L944" t="str">
        <f>"9798644904914"</f>
        <v>9798644904914</v>
      </c>
      <c r="M944" t="str">
        <f>"04194217"</f>
        <v>04194217</v>
      </c>
      <c r="N944" s="2" t="str">
        <f>"20200101"</f>
        <v>20200101</v>
      </c>
      <c r="O944">
        <v>81</v>
      </c>
      <c r="P944" t="s">
        <v>530</v>
      </c>
      <c r="S944" t="s">
        <v>6913</v>
      </c>
      <c r="U944" t="s">
        <v>68</v>
      </c>
      <c r="V944" t="s">
        <v>6914</v>
      </c>
      <c r="X944" t="s">
        <v>6916</v>
      </c>
      <c r="Y944" t="b">
        <f t="shared" si="14"/>
        <v>0</v>
      </c>
    </row>
    <row r="945" spans="1:25">
      <c r="A945" s="11" t="s">
        <v>9939</v>
      </c>
      <c r="B945" t="s">
        <v>16</v>
      </c>
      <c r="C945" s="2" t="s">
        <v>8345</v>
      </c>
      <c r="D945" t="s">
        <v>6918</v>
      </c>
      <c r="E945" t="s">
        <v>6917</v>
      </c>
      <c r="F945" s="21">
        <v>1</v>
      </c>
      <c r="H945" t="s">
        <v>6922</v>
      </c>
      <c r="I945">
        <v>1</v>
      </c>
      <c r="K945" t="s">
        <v>1029</v>
      </c>
      <c r="M945" t="str">
        <f>"01401971"</f>
        <v>01401971</v>
      </c>
      <c r="N945" s="2" t="str">
        <f>"20201201"</f>
        <v>20201201</v>
      </c>
      <c r="O945">
        <v>85</v>
      </c>
      <c r="Q945">
        <v>59</v>
      </c>
      <c r="R945">
        <v>11</v>
      </c>
      <c r="S945" t="s">
        <v>6919</v>
      </c>
      <c r="T945" t="s">
        <v>6920</v>
      </c>
      <c r="U945" t="s">
        <v>34</v>
      </c>
      <c r="V945" t="s">
        <v>6921</v>
      </c>
      <c r="X945" t="s">
        <v>6923</v>
      </c>
      <c r="Y945" t="b">
        <f t="shared" si="14"/>
        <v>0</v>
      </c>
    </row>
    <row r="946" spans="1:25">
      <c r="A946" s="11" t="s">
        <v>9939</v>
      </c>
      <c r="B946" t="s">
        <v>16</v>
      </c>
      <c r="C946" s="2" t="s">
        <v>8342</v>
      </c>
      <c r="D946" t="s">
        <v>6925</v>
      </c>
      <c r="E946" t="s">
        <v>6924</v>
      </c>
      <c r="F946" s="21">
        <v>1</v>
      </c>
      <c r="H946" t="s">
        <v>6929</v>
      </c>
      <c r="I946">
        <v>0</v>
      </c>
      <c r="J946" t="s">
        <v>9178</v>
      </c>
      <c r="K946" t="s">
        <v>40</v>
      </c>
      <c r="M946" t="str">
        <f>"15571912"</f>
        <v>15571912</v>
      </c>
      <c r="N946" s="2" t="str">
        <f>"20120401"</f>
        <v>20120401</v>
      </c>
      <c r="O946">
        <v>14</v>
      </c>
      <c r="P946">
        <v>2</v>
      </c>
      <c r="Q946">
        <v>315</v>
      </c>
      <c r="R946">
        <v>8</v>
      </c>
      <c r="S946" t="s">
        <v>6926</v>
      </c>
      <c r="T946" t="s">
        <v>6927</v>
      </c>
      <c r="U946" t="s">
        <v>42</v>
      </c>
      <c r="V946" t="s">
        <v>6928</v>
      </c>
      <c r="X946" t="s">
        <v>6930</v>
      </c>
      <c r="Y946" t="b">
        <f t="shared" si="14"/>
        <v>0</v>
      </c>
    </row>
    <row r="947" spans="1:25" hidden="1">
      <c r="A947" s="11" t="s">
        <v>9939</v>
      </c>
      <c r="B947" t="s">
        <v>16</v>
      </c>
      <c r="C947" s="2" t="s">
        <v>8347</v>
      </c>
      <c r="D947" t="s">
        <v>6932</v>
      </c>
      <c r="E947" t="s">
        <v>6931</v>
      </c>
      <c r="F947" s="20">
        <v>0</v>
      </c>
      <c r="G947" t="s">
        <v>9249</v>
      </c>
      <c r="H947" t="s">
        <v>6936</v>
      </c>
      <c r="K947" t="s">
        <v>703</v>
      </c>
      <c r="M947" t="str">
        <f>"00219029"</f>
        <v>00219029</v>
      </c>
      <c r="N947" s="2" t="str">
        <f>"20080801"</f>
        <v>20080801</v>
      </c>
      <c r="O947">
        <v>38</v>
      </c>
      <c r="P947">
        <v>8</v>
      </c>
      <c r="Q947">
        <v>2152</v>
      </c>
      <c r="R947">
        <v>27</v>
      </c>
      <c r="S947" t="s">
        <v>6933</v>
      </c>
      <c r="T947" t="s">
        <v>6934</v>
      </c>
      <c r="U947" t="s">
        <v>730</v>
      </c>
      <c r="V947" t="s">
        <v>6935</v>
      </c>
      <c r="X947" t="s">
        <v>6937</v>
      </c>
      <c r="Y947" t="b">
        <f t="shared" si="14"/>
        <v>0</v>
      </c>
    </row>
    <row r="948" spans="1:25">
      <c r="A948" s="11" t="s">
        <v>9939</v>
      </c>
      <c r="B948" t="s">
        <v>69</v>
      </c>
      <c r="C948" s="2" t="s">
        <v>8339</v>
      </c>
      <c r="D948" t="s">
        <v>6939</v>
      </c>
      <c r="E948" t="s">
        <v>6938</v>
      </c>
      <c r="F948" s="21">
        <v>1</v>
      </c>
      <c r="H948" t="s">
        <v>6942</v>
      </c>
      <c r="I948">
        <v>1</v>
      </c>
      <c r="J948" t="s">
        <v>9952</v>
      </c>
      <c r="K948" t="s">
        <v>101</v>
      </c>
      <c r="L948" t="str">
        <f>"9781321143225"</f>
        <v>9781321143225</v>
      </c>
      <c r="M948" t="str">
        <f>"04194217"</f>
        <v>04194217</v>
      </c>
      <c r="N948" s="2" t="str">
        <f>"20150101"</f>
        <v>20150101</v>
      </c>
      <c r="O948">
        <v>76</v>
      </c>
      <c r="P948" t="s">
        <v>711</v>
      </c>
      <c r="S948" t="s">
        <v>6940</v>
      </c>
      <c r="U948" t="s">
        <v>68</v>
      </c>
      <c r="V948" t="s">
        <v>6941</v>
      </c>
      <c r="X948" t="s">
        <v>6943</v>
      </c>
      <c r="Y948" t="b">
        <f t="shared" si="14"/>
        <v>0</v>
      </c>
    </row>
    <row r="949" spans="1:25">
      <c r="A949" s="11" t="s">
        <v>9939</v>
      </c>
      <c r="B949" t="s">
        <v>16</v>
      </c>
      <c r="C949" s="2" t="s">
        <v>8346</v>
      </c>
      <c r="D949" t="s">
        <v>6945</v>
      </c>
      <c r="E949" t="s">
        <v>6944</v>
      </c>
      <c r="F949" s="21">
        <v>1</v>
      </c>
      <c r="H949" t="s">
        <v>6950</v>
      </c>
      <c r="I949">
        <v>1</v>
      </c>
      <c r="K949" t="s">
        <v>6946</v>
      </c>
      <c r="M949" t="str">
        <f>"00223891"</f>
        <v>00223891</v>
      </c>
      <c r="N949" s="2" t="str">
        <f>"20110901"</f>
        <v>20110901</v>
      </c>
      <c r="O949">
        <v>93</v>
      </c>
      <c r="P949">
        <v>5</v>
      </c>
      <c r="Q949">
        <v>462</v>
      </c>
      <c r="R949">
        <v>12</v>
      </c>
      <c r="S949" t="s">
        <v>6947</v>
      </c>
      <c r="T949" t="s">
        <v>6948</v>
      </c>
      <c r="U949" t="s">
        <v>87</v>
      </c>
      <c r="V949" t="s">
        <v>6949</v>
      </c>
      <c r="X949" t="s">
        <v>6951</v>
      </c>
      <c r="Y949" t="b">
        <f t="shared" si="14"/>
        <v>0</v>
      </c>
    </row>
    <row r="950" spans="1:25" hidden="1">
      <c r="A950" s="11" t="s">
        <v>9939</v>
      </c>
      <c r="B950" t="s">
        <v>16</v>
      </c>
      <c r="C950" s="2" t="s">
        <v>8338</v>
      </c>
      <c r="D950" t="s">
        <v>6953</v>
      </c>
      <c r="E950" t="s">
        <v>6952</v>
      </c>
      <c r="F950" s="20">
        <v>0</v>
      </c>
      <c r="G950" t="s">
        <v>9178</v>
      </c>
      <c r="H950" t="s">
        <v>6957</v>
      </c>
      <c r="K950" t="s">
        <v>205</v>
      </c>
      <c r="M950" t="str">
        <f>"01607715"</f>
        <v>01607715</v>
      </c>
      <c r="N950" s="2" t="str">
        <f>"20061201"</f>
        <v>20061201</v>
      </c>
      <c r="O950">
        <v>29</v>
      </c>
      <c r="P950">
        <v>6</v>
      </c>
      <c r="Q950">
        <v>501</v>
      </c>
      <c r="R950">
        <v>10</v>
      </c>
      <c r="S950" t="s">
        <v>6954</v>
      </c>
      <c r="T950" t="s">
        <v>6955</v>
      </c>
      <c r="U950" t="s">
        <v>42</v>
      </c>
      <c r="V950" t="s">
        <v>6956</v>
      </c>
      <c r="X950" t="s">
        <v>6958</v>
      </c>
      <c r="Y950" t="b">
        <f t="shared" si="14"/>
        <v>0</v>
      </c>
    </row>
    <row r="951" spans="1:25">
      <c r="A951" s="11" t="s">
        <v>9939</v>
      </c>
      <c r="B951" t="s">
        <v>16</v>
      </c>
      <c r="C951" s="2" t="s">
        <v>8339</v>
      </c>
      <c r="D951" t="s">
        <v>6960</v>
      </c>
      <c r="E951" t="s">
        <v>6959</v>
      </c>
      <c r="F951" s="21">
        <v>1</v>
      </c>
      <c r="H951" t="s">
        <v>6964</v>
      </c>
      <c r="I951">
        <v>1</v>
      </c>
      <c r="K951" t="s">
        <v>2634</v>
      </c>
      <c r="M951" t="str">
        <f>"19326203"</f>
        <v>19326203</v>
      </c>
      <c r="N951" s="2" t="str">
        <f>"20151103"</f>
        <v>20151103</v>
      </c>
      <c r="O951">
        <v>10</v>
      </c>
      <c r="P951">
        <v>11</v>
      </c>
      <c r="S951" t="s">
        <v>6961</v>
      </c>
      <c r="T951" t="s">
        <v>6962</v>
      </c>
      <c r="U951" t="s">
        <v>2637</v>
      </c>
      <c r="V951" t="s">
        <v>6963</v>
      </c>
      <c r="X951" t="s">
        <v>6965</v>
      </c>
      <c r="Y951" t="b">
        <f t="shared" si="14"/>
        <v>0</v>
      </c>
    </row>
    <row r="952" spans="1:25" hidden="1">
      <c r="A952" s="11" t="s">
        <v>9939</v>
      </c>
      <c r="B952" t="s">
        <v>16</v>
      </c>
      <c r="C952" s="2" t="s">
        <v>8340</v>
      </c>
      <c r="D952" t="s">
        <v>6967</v>
      </c>
      <c r="E952" t="s">
        <v>6966</v>
      </c>
      <c r="F952" s="20">
        <v>0</v>
      </c>
      <c r="G952" t="s">
        <v>9178</v>
      </c>
      <c r="H952" t="s">
        <v>6971</v>
      </c>
      <c r="K952" t="s">
        <v>2460</v>
      </c>
      <c r="M952" t="str">
        <f>"00121649"</f>
        <v>00121649</v>
      </c>
      <c r="N952" s="2" t="str">
        <f>"20180601"</f>
        <v>20180601</v>
      </c>
      <c r="O952">
        <v>54</v>
      </c>
      <c r="P952">
        <v>6</v>
      </c>
      <c r="Q952">
        <v>1135</v>
      </c>
      <c r="R952">
        <v>13</v>
      </c>
      <c r="S952" t="s">
        <v>6968</v>
      </c>
      <c r="T952" t="s">
        <v>6969</v>
      </c>
      <c r="U952" t="s">
        <v>59</v>
      </c>
      <c r="V952" t="s">
        <v>6970</v>
      </c>
      <c r="X952" t="s">
        <v>6972</v>
      </c>
      <c r="Y952" t="b">
        <f t="shared" si="14"/>
        <v>0</v>
      </c>
    </row>
    <row r="953" spans="1:25">
      <c r="A953" s="11" t="s">
        <v>9939</v>
      </c>
      <c r="B953" t="s">
        <v>16</v>
      </c>
      <c r="C953" s="2" t="s">
        <v>8346</v>
      </c>
      <c r="D953" t="s">
        <v>6974</v>
      </c>
      <c r="E953" t="s">
        <v>6973</v>
      </c>
      <c r="F953" s="21">
        <v>1</v>
      </c>
      <c r="H953" t="s">
        <v>6979</v>
      </c>
      <c r="I953">
        <v>1</v>
      </c>
      <c r="K953" t="s">
        <v>6975</v>
      </c>
      <c r="M953" t="str">
        <f>"07363761"</f>
        <v>07363761</v>
      </c>
      <c r="N953" s="2" t="str">
        <f>"20110101"</f>
        <v>20110101</v>
      </c>
      <c r="O953">
        <v>28</v>
      </c>
      <c r="P953">
        <v>5</v>
      </c>
      <c r="Q953">
        <v>321</v>
      </c>
      <c r="R953">
        <v>12</v>
      </c>
      <c r="S953" t="s">
        <v>6976</v>
      </c>
      <c r="T953" t="s">
        <v>6977</v>
      </c>
      <c r="U953" t="s">
        <v>78</v>
      </c>
      <c r="V953" t="s">
        <v>6978</v>
      </c>
      <c r="X953" t="s">
        <v>6980</v>
      </c>
      <c r="Y953" t="b">
        <f t="shared" si="14"/>
        <v>0</v>
      </c>
    </row>
    <row r="954" spans="1:25" hidden="1">
      <c r="A954" s="11" t="s">
        <v>9939</v>
      </c>
      <c r="B954" t="s">
        <v>16</v>
      </c>
      <c r="C954" s="2" t="s">
        <v>8342</v>
      </c>
      <c r="D954" t="s">
        <v>6982</v>
      </c>
      <c r="E954" t="s">
        <v>6981</v>
      </c>
      <c r="F954" s="20">
        <v>0</v>
      </c>
      <c r="G954" t="s">
        <v>9249</v>
      </c>
      <c r="H954" t="s">
        <v>6986</v>
      </c>
      <c r="K954" t="s">
        <v>3883</v>
      </c>
      <c r="M954" t="str">
        <f>"00027162"</f>
        <v>00027162</v>
      </c>
      <c r="N954" s="2" t="str">
        <f>"20120901"</f>
        <v>20120901</v>
      </c>
      <c r="O954">
        <v>643</v>
      </c>
      <c r="P954">
        <v>1</v>
      </c>
      <c r="Q954">
        <v>78</v>
      </c>
      <c r="R954">
        <v>26</v>
      </c>
      <c r="S954" t="s">
        <v>6983</v>
      </c>
      <c r="T954" t="s">
        <v>6984</v>
      </c>
      <c r="U954" t="s">
        <v>15</v>
      </c>
      <c r="V954" t="s">
        <v>6985</v>
      </c>
      <c r="X954" t="s">
        <v>6987</v>
      </c>
      <c r="Y954" t="b">
        <f t="shared" si="14"/>
        <v>0</v>
      </c>
    </row>
    <row r="955" spans="1:25">
      <c r="A955" s="11" t="s">
        <v>9939</v>
      </c>
      <c r="B955" t="s">
        <v>16</v>
      </c>
      <c r="C955" s="2" t="s">
        <v>8342</v>
      </c>
      <c r="D955" t="s">
        <v>6989</v>
      </c>
      <c r="E955" t="s">
        <v>6988</v>
      </c>
      <c r="F955" s="21">
        <v>1</v>
      </c>
      <c r="H955" t="s">
        <v>6993</v>
      </c>
      <c r="I955">
        <v>1</v>
      </c>
      <c r="K955" t="s">
        <v>1065</v>
      </c>
      <c r="M955" t="str">
        <f>"08862605"</f>
        <v>08862605</v>
      </c>
      <c r="N955" s="2" t="str">
        <f>"20120501"</f>
        <v>20120501</v>
      </c>
      <c r="O955">
        <v>27</v>
      </c>
      <c r="P955">
        <v>8</v>
      </c>
      <c r="Q955">
        <v>1428</v>
      </c>
      <c r="R955">
        <v>29</v>
      </c>
      <c r="S955" t="s">
        <v>6990</v>
      </c>
      <c r="T955" t="s">
        <v>6991</v>
      </c>
      <c r="U955" t="s">
        <v>15</v>
      </c>
      <c r="V955" t="s">
        <v>6992</v>
      </c>
      <c r="X955" t="s">
        <v>6994</v>
      </c>
      <c r="Y955" t="b">
        <f t="shared" si="14"/>
        <v>0</v>
      </c>
    </row>
    <row r="956" spans="1:25">
      <c r="A956" s="11" t="s">
        <v>9939</v>
      </c>
      <c r="B956" t="s">
        <v>16</v>
      </c>
      <c r="C956" s="2" t="s">
        <v>8335</v>
      </c>
      <c r="D956" t="s">
        <v>6996</v>
      </c>
      <c r="E956" t="s">
        <v>6995</v>
      </c>
      <c r="F956" s="21">
        <v>1</v>
      </c>
      <c r="H956" t="s">
        <v>7000</v>
      </c>
      <c r="I956">
        <v>1</v>
      </c>
      <c r="K956" t="s">
        <v>189</v>
      </c>
      <c r="M956" t="str">
        <f>"01650254"</f>
        <v>01650254</v>
      </c>
      <c r="N956" s="2" t="str">
        <f>"20041101"</f>
        <v>20041101</v>
      </c>
      <c r="O956">
        <v>28</v>
      </c>
      <c r="P956">
        <v>6</v>
      </c>
      <c r="Q956">
        <v>481</v>
      </c>
      <c r="R956">
        <v>14</v>
      </c>
      <c r="S956" t="s">
        <v>6997</v>
      </c>
      <c r="T956" t="s">
        <v>6998</v>
      </c>
      <c r="U956" t="s">
        <v>87</v>
      </c>
      <c r="V956" t="s">
        <v>6999</v>
      </c>
      <c r="X956" t="s">
        <v>7001</v>
      </c>
      <c r="Y956" t="b">
        <f t="shared" si="14"/>
        <v>0</v>
      </c>
    </row>
    <row r="957" spans="1:25" hidden="1">
      <c r="A957" s="11" t="s">
        <v>9939</v>
      </c>
      <c r="B957" t="s">
        <v>69</v>
      </c>
      <c r="C957" s="2" t="s">
        <v>8334</v>
      </c>
      <c r="D957" t="s">
        <v>7003</v>
      </c>
      <c r="E957" t="s">
        <v>7002</v>
      </c>
      <c r="H957" t="s">
        <v>7006</v>
      </c>
      <c r="K957" t="s">
        <v>101</v>
      </c>
      <c r="L957" t="str">
        <f>"9781303434822"</f>
        <v>9781303434822</v>
      </c>
      <c r="M957" t="str">
        <f>"04194217"</f>
        <v>04194217</v>
      </c>
      <c r="N957" s="2" t="str">
        <f>"20140101"</f>
        <v>20140101</v>
      </c>
      <c r="O957">
        <v>75</v>
      </c>
      <c r="P957" t="s">
        <v>711</v>
      </c>
      <c r="S957" t="s">
        <v>7004</v>
      </c>
      <c r="U957" t="s">
        <v>68</v>
      </c>
      <c r="V957" t="s">
        <v>7005</v>
      </c>
      <c r="X957" t="s">
        <v>7007</v>
      </c>
      <c r="Y957" t="b">
        <f t="shared" si="14"/>
        <v>1</v>
      </c>
    </row>
    <row r="958" spans="1:25">
      <c r="A958" s="11" t="s">
        <v>9939</v>
      </c>
      <c r="B958" t="s">
        <v>16</v>
      </c>
      <c r="C958" s="2" t="s">
        <v>8337</v>
      </c>
      <c r="D958" t="s">
        <v>7009</v>
      </c>
      <c r="E958" t="s">
        <v>7008</v>
      </c>
      <c r="F958" s="21">
        <v>1</v>
      </c>
      <c r="H958" t="s">
        <v>7013</v>
      </c>
      <c r="I958">
        <v>1</v>
      </c>
      <c r="K958" t="s">
        <v>970</v>
      </c>
      <c r="M958" t="str">
        <f>"10999809"</f>
        <v>10999809</v>
      </c>
      <c r="N958" s="2" t="str">
        <f>"20130101"</f>
        <v>20130101</v>
      </c>
      <c r="O958">
        <v>19</v>
      </c>
      <c r="P958">
        <v>1</v>
      </c>
      <c r="Q958">
        <v>13</v>
      </c>
      <c r="R958">
        <v>14</v>
      </c>
      <c r="S958" t="s">
        <v>7010</v>
      </c>
      <c r="T958" t="s">
        <v>7011</v>
      </c>
      <c r="U958" t="s">
        <v>183</v>
      </c>
      <c r="V958" t="s">
        <v>7012</v>
      </c>
      <c r="X958" t="s">
        <v>7014</v>
      </c>
      <c r="Y958" t="b">
        <f t="shared" si="14"/>
        <v>0</v>
      </c>
    </row>
    <row r="959" spans="1:25">
      <c r="A959" s="11" t="s">
        <v>9939</v>
      </c>
      <c r="B959" t="s">
        <v>16</v>
      </c>
      <c r="C959" s="2" t="s">
        <v>8343</v>
      </c>
      <c r="D959" t="s">
        <v>7016</v>
      </c>
      <c r="E959" t="s">
        <v>7015</v>
      </c>
      <c r="F959" s="21">
        <v>1</v>
      </c>
      <c r="H959" t="s">
        <v>7020</v>
      </c>
      <c r="I959">
        <v>1</v>
      </c>
      <c r="K959" t="s">
        <v>132</v>
      </c>
      <c r="M959" t="str">
        <f>"01471767"</f>
        <v>01471767</v>
      </c>
      <c r="N959" s="2" t="str">
        <f>"20171101"</f>
        <v>20171101</v>
      </c>
      <c r="O959">
        <v>61</v>
      </c>
      <c r="Q959">
        <v>77</v>
      </c>
      <c r="R959">
        <v>11</v>
      </c>
      <c r="S959" t="s">
        <v>7017</v>
      </c>
      <c r="T959" t="s">
        <v>7018</v>
      </c>
      <c r="U959" t="s">
        <v>34</v>
      </c>
      <c r="V959" t="s">
        <v>7019</v>
      </c>
      <c r="X959" t="s">
        <v>7021</v>
      </c>
      <c r="Y959" t="b">
        <f t="shared" si="14"/>
        <v>0</v>
      </c>
    </row>
    <row r="960" spans="1:25">
      <c r="A960" s="11" t="s">
        <v>9939</v>
      </c>
      <c r="B960" t="s">
        <v>16</v>
      </c>
      <c r="C960" s="2" t="s">
        <v>8349</v>
      </c>
      <c r="D960" t="s">
        <v>7023</v>
      </c>
      <c r="E960" t="s">
        <v>7022</v>
      </c>
      <c r="F960" s="21">
        <v>1</v>
      </c>
      <c r="H960" t="s">
        <v>7027</v>
      </c>
      <c r="I960">
        <v>1</v>
      </c>
      <c r="K960" t="s">
        <v>40</v>
      </c>
      <c r="M960" t="str">
        <f>"15571912"</f>
        <v>15571912</v>
      </c>
      <c r="N960" s="2" t="str">
        <f>"20190415"</f>
        <v>20190415</v>
      </c>
      <c r="O960">
        <v>21</v>
      </c>
      <c r="P960">
        <v>2</v>
      </c>
      <c r="Q960">
        <v>278</v>
      </c>
      <c r="R960">
        <v>12</v>
      </c>
      <c r="S960" t="s">
        <v>7024</v>
      </c>
      <c r="T960" t="s">
        <v>7025</v>
      </c>
      <c r="U960" t="s">
        <v>42</v>
      </c>
      <c r="V960" t="s">
        <v>7026</v>
      </c>
      <c r="X960" t="s">
        <v>7028</v>
      </c>
      <c r="Y960" t="b">
        <f t="shared" si="14"/>
        <v>0</v>
      </c>
    </row>
    <row r="961" spans="1:25">
      <c r="A961" s="11" t="s">
        <v>9939</v>
      </c>
      <c r="B961" t="s">
        <v>16</v>
      </c>
      <c r="C961" s="2" t="s">
        <v>8336</v>
      </c>
      <c r="D961" t="s">
        <v>7030</v>
      </c>
      <c r="E961" t="s">
        <v>7029</v>
      </c>
      <c r="F961" s="21">
        <v>1</v>
      </c>
      <c r="H961" t="s">
        <v>7034</v>
      </c>
      <c r="I961">
        <v>1</v>
      </c>
      <c r="K961" t="s">
        <v>347</v>
      </c>
      <c r="M961" t="str">
        <f>"00900036"</f>
        <v>00900036</v>
      </c>
      <c r="N961" s="2" t="str">
        <f>"20070701"</f>
        <v>20070701</v>
      </c>
      <c r="O961">
        <v>97</v>
      </c>
      <c r="P961">
        <v>7</v>
      </c>
      <c r="Q961">
        <v>1290</v>
      </c>
      <c r="R961">
        <v>7</v>
      </c>
      <c r="S961" t="s">
        <v>7031</v>
      </c>
      <c r="T961" t="s">
        <v>7032</v>
      </c>
      <c r="U961" t="s">
        <v>350</v>
      </c>
      <c r="V961" t="s">
        <v>7033</v>
      </c>
      <c r="X961" t="s">
        <v>7035</v>
      </c>
      <c r="Y961" t="b">
        <f t="shared" si="14"/>
        <v>0</v>
      </c>
    </row>
    <row r="962" spans="1:25">
      <c r="A962" s="11" t="s">
        <v>9939</v>
      </c>
      <c r="B962" t="s">
        <v>69</v>
      </c>
      <c r="C962" s="2" t="s">
        <v>8336</v>
      </c>
      <c r="D962" t="s">
        <v>7037</v>
      </c>
      <c r="E962" t="s">
        <v>7036</v>
      </c>
      <c r="F962" s="21">
        <v>1</v>
      </c>
      <c r="H962" t="s">
        <v>7040</v>
      </c>
      <c r="I962">
        <v>1</v>
      </c>
      <c r="K962" t="s">
        <v>101</v>
      </c>
      <c r="M962" t="str">
        <f>"04194217"</f>
        <v>04194217</v>
      </c>
      <c r="N962" s="2" t="str">
        <f>"20070101"</f>
        <v>20070101</v>
      </c>
      <c r="O962">
        <v>67</v>
      </c>
      <c r="P962" t="s">
        <v>2857</v>
      </c>
      <c r="Q962">
        <v>4755</v>
      </c>
      <c r="R962">
        <v>1</v>
      </c>
      <c r="S962" t="s">
        <v>7038</v>
      </c>
      <c r="U962" t="s">
        <v>68</v>
      </c>
      <c r="V962" t="s">
        <v>7039</v>
      </c>
      <c r="X962" t="s">
        <v>7041</v>
      </c>
      <c r="Y962" t="b">
        <f t="shared" ref="Y962:Y1025" si="15">COUNTIF(X:X, X962)&gt;1</f>
        <v>0</v>
      </c>
    </row>
    <row r="963" spans="1:25">
      <c r="A963" s="11" t="s">
        <v>9939</v>
      </c>
      <c r="B963" t="s">
        <v>16</v>
      </c>
      <c r="C963" s="2" t="s">
        <v>8337</v>
      </c>
      <c r="D963" t="s">
        <v>7043</v>
      </c>
      <c r="E963" t="s">
        <v>7042</v>
      </c>
      <c r="F963" s="21">
        <v>1</v>
      </c>
      <c r="H963" t="s">
        <v>7048</v>
      </c>
      <c r="I963">
        <v>1</v>
      </c>
      <c r="K963" t="s">
        <v>7044</v>
      </c>
      <c r="M963" t="str">
        <f>"21908370"</f>
        <v>21908370</v>
      </c>
      <c r="N963" s="2" t="str">
        <f>"20130101"</f>
        <v>20130101</v>
      </c>
      <c r="O963">
        <v>221</v>
      </c>
      <c r="P963">
        <v>4</v>
      </c>
      <c r="Q963">
        <v>252</v>
      </c>
      <c r="R963">
        <v>6</v>
      </c>
      <c r="S963" t="s">
        <v>7045</v>
      </c>
      <c r="T963" t="s">
        <v>7046</v>
      </c>
      <c r="U963" t="s">
        <v>166</v>
      </c>
      <c r="V963" t="s">
        <v>7047</v>
      </c>
      <c r="X963" t="s">
        <v>7049</v>
      </c>
      <c r="Y963" t="b">
        <f t="shared" si="15"/>
        <v>0</v>
      </c>
    </row>
    <row r="964" spans="1:25" hidden="1">
      <c r="A964" s="11" t="s">
        <v>9939</v>
      </c>
      <c r="B964" t="s">
        <v>16</v>
      </c>
      <c r="C964" s="2" t="s">
        <v>8346</v>
      </c>
      <c r="D964" t="s">
        <v>7051</v>
      </c>
      <c r="E964" t="s">
        <v>7050</v>
      </c>
      <c r="F964" s="20">
        <v>0</v>
      </c>
      <c r="G964" t="s">
        <v>9178</v>
      </c>
      <c r="H964" t="s">
        <v>7056</v>
      </c>
      <c r="K964" t="s">
        <v>7052</v>
      </c>
      <c r="M964" t="str">
        <f>"00219916"</f>
        <v>00219916</v>
      </c>
      <c r="N964" s="2" t="str">
        <f>"20110601"</f>
        <v>20110601</v>
      </c>
      <c r="O964">
        <v>61</v>
      </c>
      <c r="P964">
        <v>3</v>
      </c>
      <c r="Q964">
        <v>455</v>
      </c>
      <c r="R964">
        <v>21</v>
      </c>
      <c r="S964" t="s">
        <v>7053</v>
      </c>
      <c r="T964" t="s">
        <v>7054</v>
      </c>
      <c r="U964" t="s">
        <v>730</v>
      </c>
      <c r="V964" t="s">
        <v>7055</v>
      </c>
      <c r="X964" t="s">
        <v>7057</v>
      </c>
      <c r="Y964" t="b">
        <f t="shared" si="15"/>
        <v>0</v>
      </c>
    </row>
    <row r="965" spans="1:25" hidden="1">
      <c r="A965" s="11" t="s">
        <v>9939</v>
      </c>
      <c r="B965" t="s">
        <v>69</v>
      </c>
      <c r="C965" s="2" t="s">
        <v>8341</v>
      </c>
      <c r="D965" t="s">
        <v>7059</v>
      </c>
      <c r="E965" t="s">
        <v>7058</v>
      </c>
      <c r="H965" t="s">
        <v>7062</v>
      </c>
      <c r="K965" t="s">
        <v>101</v>
      </c>
      <c r="L965" t="str">
        <f>"9781109083453"</f>
        <v>9781109083453</v>
      </c>
      <c r="M965" t="str">
        <f>"04194217"</f>
        <v>04194217</v>
      </c>
      <c r="N965" s="2" t="str">
        <f>"20090101"</f>
        <v>20090101</v>
      </c>
      <c r="O965">
        <v>70</v>
      </c>
      <c r="P965" t="s">
        <v>2940</v>
      </c>
      <c r="Q965">
        <v>1948</v>
      </c>
      <c r="R965">
        <v>1</v>
      </c>
      <c r="S965" t="s">
        <v>7060</v>
      </c>
      <c r="U965" t="s">
        <v>68</v>
      </c>
      <c r="V965" t="s">
        <v>7061</v>
      </c>
      <c r="X965" t="s">
        <v>7063</v>
      </c>
      <c r="Y965" t="b">
        <f t="shared" si="15"/>
        <v>1</v>
      </c>
    </row>
    <row r="966" spans="1:25">
      <c r="A966" s="11" t="s">
        <v>9939</v>
      </c>
      <c r="B966" t="s">
        <v>16</v>
      </c>
      <c r="C966" s="2" t="s">
        <v>8339</v>
      </c>
      <c r="D966" t="s">
        <v>3138</v>
      </c>
      <c r="E966" t="s">
        <v>7064</v>
      </c>
      <c r="F966" s="21">
        <v>1</v>
      </c>
      <c r="H966" t="s">
        <v>7068</v>
      </c>
      <c r="I966">
        <v>0</v>
      </c>
      <c r="J966" t="s">
        <v>9249</v>
      </c>
      <c r="K966" t="s">
        <v>132</v>
      </c>
      <c r="M966" t="str">
        <f>"01471767"</f>
        <v>01471767</v>
      </c>
      <c r="N966" s="2" t="str">
        <f>"20150701"</f>
        <v>20150701</v>
      </c>
      <c r="O966">
        <v>47</v>
      </c>
      <c r="Q966">
        <v>131</v>
      </c>
      <c r="R966">
        <v>12</v>
      </c>
      <c r="S966" t="s">
        <v>7065</v>
      </c>
      <c r="T966" t="s">
        <v>7066</v>
      </c>
      <c r="U966" t="s">
        <v>3930</v>
      </c>
      <c r="V966" t="s">
        <v>7067</v>
      </c>
      <c r="X966" t="s">
        <v>7069</v>
      </c>
      <c r="Y966" t="b">
        <f t="shared" si="15"/>
        <v>0</v>
      </c>
    </row>
    <row r="967" spans="1:25" hidden="1">
      <c r="A967" s="11" t="s">
        <v>9939</v>
      </c>
      <c r="B967" t="s">
        <v>16</v>
      </c>
      <c r="C967" s="2" t="s">
        <v>8340</v>
      </c>
      <c r="D967" t="s">
        <v>7071</v>
      </c>
      <c r="E967" t="s">
        <v>7070</v>
      </c>
      <c r="F967" s="20">
        <v>0</v>
      </c>
      <c r="G967" t="s">
        <v>9178</v>
      </c>
      <c r="H967" t="s">
        <v>7075</v>
      </c>
      <c r="K967" t="s">
        <v>339</v>
      </c>
      <c r="M967" t="str">
        <f>"01419870"</f>
        <v>01419870</v>
      </c>
      <c r="N967" s="2" t="str">
        <f>"20180401"</f>
        <v>20180401</v>
      </c>
      <c r="O967">
        <v>41</v>
      </c>
      <c r="P967">
        <v>5</v>
      </c>
      <c r="Q967">
        <v>919</v>
      </c>
      <c r="R967">
        <v>19</v>
      </c>
      <c r="S967" t="s">
        <v>7072</v>
      </c>
      <c r="T967" t="s">
        <v>7073</v>
      </c>
      <c r="U967" t="s">
        <v>87</v>
      </c>
      <c r="V967" t="s">
        <v>7074</v>
      </c>
      <c r="X967" t="s">
        <v>7076</v>
      </c>
      <c r="Y967" t="b">
        <f t="shared" si="15"/>
        <v>0</v>
      </c>
    </row>
    <row r="968" spans="1:25">
      <c r="A968" s="11" t="s">
        <v>9939</v>
      </c>
      <c r="B968" t="s">
        <v>16</v>
      </c>
      <c r="C968" s="2" t="s">
        <v>8334</v>
      </c>
      <c r="D968" t="s">
        <v>7078</v>
      </c>
      <c r="E968" t="s">
        <v>7077</v>
      </c>
      <c r="F968" s="21">
        <v>1</v>
      </c>
      <c r="H968" t="s">
        <v>7082</v>
      </c>
      <c r="I968">
        <v>1</v>
      </c>
      <c r="K968" t="s">
        <v>1160</v>
      </c>
      <c r="M968" t="str">
        <f>"01693816"</f>
        <v>01693816</v>
      </c>
      <c r="N968" s="2" t="str">
        <f>"20140901"</f>
        <v>20140901</v>
      </c>
      <c r="O968">
        <v>29</v>
      </c>
      <c r="P968">
        <v>3</v>
      </c>
      <c r="Q968">
        <v>277</v>
      </c>
      <c r="R968">
        <v>21</v>
      </c>
      <c r="S968" t="s">
        <v>7079</v>
      </c>
      <c r="T968" t="s">
        <v>7080</v>
      </c>
      <c r="U968" t="s">
        <v>42</v>
      </c>
      <c r="V968" t="s">
        <v>7081</v>
      </c>
      <c r="X968" t="s">
        <v>7083</v>
      </c>
      <c r="Y968" t="b">
        <f t="shared" si="15"/>
        <v>0</v>
      </c>
    </row>
    <row r="969" spans="1:25">
      <c r="A969" s="11" t="s">
        <v>9939</v>
      </c>
      <c r="B969" t="s">
        <v>395</v>
      </c>
      <c r="C969" s="2" t="s">
        <v>8360</v>
      </c>
      <c r="D969" t="s">
        <v>7085</v>
      </c>
      <c r="E969" t="s">
        <v>7084</v>
      </c>
      <c r="F969" s="21">
        <v>1</v>
      </c>
      <c r="H969" t="s">
        <v>7090</v>
      </c>
      <c r="I969">
        <v>0</v>
      </c>
      <c r="J969" t="s">
        <v>9245</v>
      </c>
      <c r="K969" t="s">
        <v>7086</v>
      </c>
      <c r="L969" t="str">
        <f>"9958988143"</f>
        <v>9958988143</v>
      </c>
      <c r="N969" s="2" t="str">
        <f>"20000101"</f>
        <v>20000101</v>
      </c>
      <c r="Q969">
        <v>84</v>
      </c>
      <c r="R969">
        <v>5</v>
      </c>
      <c r="S969" t="s">
        <v>7087</v>
      </c>
      <c r="U969" t="s">
        <v>7088</v>
      </c>
      <c r="V969" t="s">
        <v>7089</v>
      </c>
      <c r="X969" t="s">
        <v>7091</v>
      </c>
      <c r="Y969" t="b">
        <f t="shared" si="15"/>
        <v>0</v>
      </c>
    </row>
    <row r="970" spans="1:25" hidden="1">
      <c r="A970" s="11" t="s">
        <v>9939</v>
      </c>
      <c r="B970" t="s">
        <v>16</v>
      </c>
      <c r="C970" s="2" t="s">
        <v>8353</v>
      </c>
      <c r="D970" t="s">
        <v>7093</v>
      </c>
      <c r="E970" t="s">
        <v>7092</v>
      </c>
      <c r="F970" s="20">
        <v>0</v>
      </c>
      <c r="G970" t="s">
        <v>9178</v>
      </c>
      <c r="H970" t="s">
        <v>7097</v>
      </c>
      <c r="K970" t="s">
        <v>40</v>
      </c>
      <c r="M970" t="str">
        <f>"15571912"</f>
        <v>15571912</v>
      </c>
      <c r="N970" s="2" t="str">
        <f>"20161001"</f>
        <v>20161001</v>
      </c>
      <c r="O970">
        <v>18</v>
      </c>
      <c r="P970">
        <v>5</v>
      </c>
      <c r="Q970">
        <v>1115</v>
      </c>
      <c r="R970">
        <v>9</v>
      </c>
      <c r="S970" t="s">
        <v>7094</v>
      </c>
      <c r="T970" t="s">
        <v>7095</v>
      </c>
      <c r="U970" t="s">
        <v>42</v>
      </c>
      <c r="V970" t="s">
        <v>7096</v>
      </c>
      <c r="X970" t="s">
        <v>7098</v>
      </c>
      <c r="Y970" t="b">
        <f t="shared" si="15"/>
        <v>0</v>
      </c>
    </row>
    <row r="971" spans="1:25">
      <c r="A971" s="11" t="s">
        <v>9939</v>
      </c>
      <c r="B971" t="s">
        <v>16</v>
      </c>
      <c r="C971" s="2" t="s">
        <v>8339</v>
      </c>
      <c r="D971" t="s">
        <v>7100</v>
      </c>
      <c r="E971" t="s">
        <v>7099</v>
      </c>
      <c r="F971" s="21">
        <v>1</v>
      </c>
      <c r="H971" t="s">
        <v>7104</v>
      </c>
      <c r="I971">
        <v>1</v>
      </c>
      <c r="K971" t="s">
        <v>40</v>
      </c>
      <c r="M971" t="str">
        <f>"15571912"</f>
        <v>15571912</v>
      </c>
      <c r="N971" s="2" t="str">
        <f>"20150401"</f>
        <v>20150401</v>
      </c>
      <c r="O971">
        <v>17</v>
      </c>
      <c r="P971">
        <v>2</v>
      </c>
      <c r="Q971">
        <v>441</v>
      </c>
      <c r="R971">
        <v>9</v>
      </c>
      <c r="S971" t="s">
        <v>7101</v>
      </c>
      <c r="T971" t="s">
        <v>7102</v>
      </c>
      <c r="U971" t="s">
        <v>42</v>
      </c>
      <c r="V971" t="s">
        <v>7103</v>
      </c>
      <c r="X971" t="s">
        <v>7105</v>
      </c>
      <c r="Y971" t="b">
        <f t="shared" si="15"/>
        <v>0</v>
      </c>
    </row>
    <row r="972" spans="1:25">
      <c r="A972" s="11" t="s">
        <v>9939</v>
      </c>
      <c r="B972" t="s">
        <v>69</v>
      </c>
      <c r="C972" s="2" t="s">
        <v>8342</v>
      </c>
      <c r="D972" t="s">
        <v>7107</v>
      </c>
      <c r="E972" t="s">
        <v>7106</v>
      </c>
      <c r="F972" s="21">
        <v>1</v>
      </c>
      <c r="H972" t="s">
        <v>7110</v>
      </c>
      <c r="I972">
        <v>1</v>
      </c>
      <c r="K972" t="s">
        <v>101</v>
      </c>
      <c r="L972" t="str">
        <f>"9781124859712"</f>
        <v>9781124859712</v>
      </c>
      <c r="M972" t="str">
        <f>"04194217"</f>
        <v>04194217</v>
      </c>
      <c r="N972" s="2" t="str">
        <f>"20120101"</f>
        <v>20120101</v>
      </c>
      <c r="O972">
        <v>72</v>
      </c>
      <c r="P972" t="s">
        <v>530</v>
      </c>
      <c r="Q972">
        <v>7036</v>
      </c>
      <c r="R972">
        <v>1</v>
      </c>
      <c r="S972" t="s">
        <v>7108</v>
      </c>
      <c r="U972" t="s">
        <v>68</v>
      </c>
      <c r="V972" t="s">
        <v>7109</v>
      </c>
      <c r="X972" t="s">
        <v>7111</v>
      </c>
      <c r="Y972" t="b">
        <f t="shared" si="15"/>
        <v>0</v>
      </c>
    </row>
    <row r="973" spans="1:25" hidden="1">
      <c r="A973" s="11" t="s">
        <v>9939</v>
      </c>
      <c r="B973" t="s">
        <v>16</v>
      </c>
      <c r="C973" s="2" t="s">
        <v>8339</v>
      </c>
      <c r="D973" t="s">
        <v>7113</v>
      </c>
      <c r="E973" t="s">
        <v>7112</v>
      </c>
      <c r="F973" s="20">
        <v>0</v>
      </c>
      <c r="G973" t="s">
        <v>9178</v>
      </c>
      <c r="H973" t="s">
        <v>7117</v>
      </c>
      <c r="K973" t="s">
        <v>2634</v>
      </c>
      <c r="M973" t="str">
        <f>"19326203"</f>
        <v>19326203</v>
      </c>
      <c r="N973" s="2" t="str">
        <f>"20151105"</f>
        <v>20151105</v>
      </c>
      <c r="O973">
        <v>10</v>
      </c>
      <c r="P973">
        <v>11</v>
      </c>
      <c r="S973" t="s">
        <v>7114</v>
      </c>
      <c r="T973" t="s">
        <v>7115</v>
      </c>
      <c r="U973" t="s">
        <v>2637</v>
      </c>
      <c r="V973" t="s">
        <v>7116</v>
      </c>
      <c r="X973" t="s">
        <v>7118</v>
      </c>
      <c r="Y973" t="b">
        <f t="shared" si="15"/>
        <v>0</v>
      </c>
    </row>
    <row r="974" spans="1:25" hidden="1">
      <c r="A974" s="11" t="s">
        <v>9939</v>
      </c>
      <c r="B974" t="s">
        <v>16</v>
      </c>
      <c r="C974" s="2" t="s">
        <v>8348</v>
      </c>
      <c r="D974" t="s">
        <v>7120</v>
      </c>
      <c r="E974" t="s">
        <v>7119</v>
      </c>
      <c r="F974" s="20">
        <v>0</v>
      </c>
      <c r="G974" t="s">
        <v>9178</v>
      </c>
      <c r="H974" t="s">
        <v>7124</v>
      </c>
      <c r="K974" t="s">
        <v>2045</v>
      </c>
      <c r="M974" t="str">
        <f>"08999546"</f>
        <v>08999546</v>
      </c>
      <c r="N974" s="2" t="str">
        <f>"20051001"</f>
        <v>20051001</v>
      </c>
      <c r="O974">
        <v>17</v>
      </c>
      <c r="P974">
        <v>5</v>
      </c>
      <c r="Q974">
        <v>469</v>
      </c>
      <c r="R974">
        <v>15</v>
      </c>
      <c r="S974" t="s">
        <v>7121</v>
      </c>
      <c r="T974" t="s">
        <v>7122</v>
      </c>
      <c r="U974" t="s">
        <v>2048</v>
      </c>
      <c r="V974" t="s">
        <v>7123</v>
      </c>
      <c r="X974" t="s">
        <v>7125</v>
      </c>
      <c r="Y974" t="b">
        <f t="shared" si="15"/>
        <v>0</v>
      </c>
    </row>
    <row r="975" spans="1:25" hidden="1">
      <c r="A975" s="11" t="s">
        <v>9939</v>
      </c>
      <c r="B975" t="s">
        <v>16</v>
      </c>
      <c r="C975" s="2" t="s">
        <v>8336</v>
      </c>
      <c r="D975" t="s">
        <v>7127</v>
      </c>
      <c r="E975" t="s">
        <v>7126</v>
      </c>
      <c r="F975" s="20">
        <v>0</v>
      </c>
      <c r="G975" t="s">
        <v>9178</v>
      </c>
      <c r="H975" t="s">
        <v>7131</v>
      </c>
      <c r="K975" t="s">
        <v>260</v>
      </c>
      <c r="M975" t="str">
        <f>"07399332"</f>
        <v>07399332</v>
      </c>
      <c r="N975" s="2" t="str">
        <f>"20070101"</f>
        <v>20070101</v>
      </c>
      <c r="O975">
        <v>28</v>
      </c>
      <c r="P975">
        <v>4</v>
      </c>
      <c r="Q975">
        <v>339</v>
      </c>
      <c r="R975">
        <v>21</v>
      </c>
      <c r="S975" t="s">
        <v>7128</v>
      </c>
      <c r="T975" t="s">
        <v>7129</v>
      </c>
      <c r="U975" t="s">
        <v>87</v>
      </c>
      <c r="V975" t="s">
        <v>7130</v>
      </c>
      <c r="X975" t="s">
        <v>7132</v>
      </c>
      <c r="Y975" t="b">
        <f t="shared" si="15"/>
        <v>0</v>
      </c>
    </row>
    <row r="976" spans="1:25" hidden="1">
      <c r="A976" s="11" t="s">
        <v>9939</v>
      </c>
      <c r="B976" t="s">
        <v>16</v>
      </c>
      <c r="C976" s="2" t="s">
        <v>8340</v>
      </c>
      <c r="D976" t="s">
        <v>7134</v>
      </c>
      <c r="E976" t="s">
        <v>7133</v>
      </c>
      <c r="F976" s="20">
        <v>0</v>
      </c>
      <c r="G976" t="s">
        <v>9178</v>
      </c>
      <c r="H976" t="s">
        <v>7139</v>
      </c>
      <c r="K976" t="s">
        <v>7135</v>
      </c>
      <c r="M976" t="str">
        <f>"22141413"</f>
        <v>22141413</v>
      </c>
      <c r="N976" s="2" t="str">
        <f>"20180901"</f>
        <v>20180901</v>
      </c>
      <c r="O976">
        <v>10</v>
      </c>
      <c r="Q976">
        <v>253</v>
      </c>
      <c r="R976">
        <v>9</v>
      </c>
      <c r="S976" t="s">
        <v>7136</v>
      </c>
      <c r="T976" t="s">
        <v>7137</v>
      </c>
      <c r="U976" t="s">
        <v>34</v>
      </c>
      <c r="V976" t="s">
        <v>7138</v>
      </c>
      <c r="X976" t="s">
        <v>7140</v>
      </c>
      <c r="Y976" t="b">
        <f t="shared" si="15"/>
        <v>0</v>
      </c>
    </row>
    <row r="977" spans="1:25" hidden="1">
      <c r="A977" s="11" t="s">
        <v>9939</v>
      </c>
      <c r="B977" t="s">
        <v>16</v>
      </c>
      <c r="C977" s="2" t="s">
        <v>8353</v>
      </c>
      <c r="D977" t="s">
        <v>7142</v>
      </c>
      <c r="E977" t="s">
        <v>7141</v>
      </c>
      <c r="H977" t="s">
        <v>7146</v>
      </c>
      <c r="K977" t="s">
        <v>2351</v>
      </c>
      <c r="M977" t="str">
        <f>"10403590"</f>
        <v>10403590</v>
      </c>
      <c r="N977" s="2" t="str">
        <f>"20160501"</f>
        <v>20160501</v>
      </c>
      <c r="O977">
        <v>28</v>
      </c>
      <c r="P977">
        <v>5</v>
      </c>
      <c r="Q977">
        <v>509</v>
      </c>
      <c r="R977">
        <v>14</v>
      </c>
      <c r="S977" t="s">
        <v>7143</v>
      </c>
      <c r="T977" t="s">
        <v>7144</v>
      </c>
      <c r="U977" t="s">
        <v>59</v>
      </c>
      <c r="V977" t="s">
        <v>7145</v>
      </c>
      <c r="X977" t="s">
        <v>7147</v>
      </c>
      <c r="Y977" t="b">
        <f t="shared" si="15"/>
        <v>1</v>
      </c>
    </row>
    <row r="978" spans="1:25">
      <c r="A978" s="11" t="s">
        <v>9939</v>
      </c>
      <c r="B978" t="s">
        <v>16</v>
      </c>
      <c r="C978" s="2" t="s">
        <v>8342</v>
      </c>
      <c r="D978" t="s">
        <v>7149</v>
      </c>
      <c r="E978" t="s">
        <v>7148</v>
      </c>
      <c r="F978" s="21">
        <v>1</v>
      </c>
      <c r="H978" t="s">
        <v>7153</v>
      </c>
      <c r="I978">
        <v>1</v>
      </c>
      <c r="J978" t="s">
        <v>9952</v>
      </c>
      <c r="K978" t="s">
        <v>2351</v>
      </c>
      <c r="M978" t="str">
        <f>"10403590"</f>
        <v>10403590</v>
      </c>
      <c r="N978" s="2" t="str">
        <f>"20120301"</f>
        <v>20120301</v>
      </c>
      <c r="O978">
        <v>24</v>
      </c>
      <c r="P978">
        <v>1</v>
      </c>
      <c r="Q978">
        <v>187</v>
      </c>
      <c r="R978">
        <v>10</v>
      </c>
      <c r="S978" t="s">
        <v>7150</v>
      </c>
      <c r="T978" t="s">
        <v>7151</v>
      </c>
      <c r="U978" t="s">
        <v>59</v>
      </c>
      <c r="V978" t="s">
        <v>7152</v>
      </c>
      <c r="X978" t="s">
        <v>7154</v>
      </c>
      <c r="Y978" t="b">
        <f t="shared" si="15"/>
        <v>0</v>
      </c>
    </row>
    <row r="979" spans="1:25">
      <c r="A979" s="11" t="s">
        <v>9939</v>
      </c>
      <c r="B979" t="s">
        <v>16</v>
      </c>
      <c r="C979" s="2" t="s">
        <v>8347</v>
      </c>
      <c r="D979" t="s">
        <v>7156</v>
      </c>
      <c r="E979" t="s">
        <v>7155</v>
      </c>
      <c r="F979" s="21">
        <v>1</v>
      </c>
      <c r="H979" t="s">
        <v>7160</v>
      </c>
      <c r="I979">
        <v>0</v>
      </c>
      <c r="J979" t="s">
        <v>9245</v>
      </c>
      <c r="K979" t="s">
        <v>2180</v>
      </c>
      <c r="M979" t="str">
        <f>"09337954"</f>
        <v>09337954</v>
      </c>
      <c r="N979" s="2" t="str">
        <f>"20080701"</f>
        <v>20080701</v>
      </c>
      <c r="O979">
        <v>43</v>
      </c>
      <c r="P979">
        <v>7</v>
      </c>
      <c r="Q979">
        <v>507</v>
      </c>
      <c r="R979">
        <v>9</v>
      </c>
      <c r="S979" t="s">
        <v>7157</v>
      </c>
      <c r="T979" t="s">
        <v>7158</v>
      </c>
      <c r="U979" t="s">
        <v>42</v>
      </c>
      <c r="V979" t="s">
        <v>7159</v>
      </c>
      <c r="X979" t="s">
        <v>7161</v>
      </c>
      <c r="Y979" t="b">
        <f t="shared" si="15"/>
        <v>0</v>
      </c>
    </row>
    <row r="980" spans="1:25">
      <c r="A980" s="11" t="s">
        <v>9939</v>
      </c>
      <c r="B980" t="s">
        <v>16</v>
      </c>
      <c r="C980" s="2" t="s">
        <v>8349</v>
      </c>
      <c r="D980" t="s">
        <v>7163</v>
      </c>
      <c r="E980" t="s">
        <v>7162</v>
      </c>
      <c r="F980" s="21">
        <v>1</v>
      </c>
      <c r="H980" t="s">
        <v>7167</v>
      </c>
      <c r="I980">
        <v>1</v>
      </c>
      <c r="K980" t="s">
        <v>40</v>
      </c>
      <c r="M980" t="str">
        <f>"15571912"</f>
        <v>15571912</v>
      </c>
      <c r="N980" s="2" t="str">
        <f>"20190215"</f>
        <v>20190215</v>
      </c>
      <c r="O980">
        <v>21</v>
      </c>
      <c r="P980">
        <v>1</v>
      </c>
      <c r="Q980">
        <v>129</v>
      </c>
      <c r="R980">
        <v>7</v>
      </c>
      <c r="S980" t="s">
        <v>7164</v>
      </c>
      <c r="T980" t="s">
        <v>7165</v>
      </c>
      <c r="U980" t="s">
        <v>42</v>
      </c>
      <c r="V980" t="s">
        <v>7166</v>
      </c>
      <c r="X980" t="s">
        <v>7168</v>
      </c>
      <c r="Y980" t="b">
        <f t="shared" si="15"/>
        <v>0</v>
      </c>
    </row>
    <row r="981" spans="1:25" hidden="1">
      <c r="A981" s="11" t="s">
        <v>9939</v>
      </c>
      <c r="B981" t="s">
        <v>16</v>
      </c>
      <c r="C981" s="2" t="s">
        <v>8346</v>
      </c>
      <c r="D981" t="s">
        <v>7170</v>
      </c>
      <c r="E981" t="s">
        <v>7169</v>
      </c>
      <c r="H981" t="s">
        <v>7174</v>
      </c>
      <c r="K981" t="s">
        <v>172</v>
      </c>
      <c r="M981" t="str">
        <f>"01634372"</f>
        <v>01634372</v>
      </c>
      <c r="N981" s="2" t="str">
        <f>"20110501"</f>
        <v>20110501</v>
      </c>
      <c r="O981">
        <v>54</v>
      </c>
      <c r="P981">
        <v>4</v>
      </c>
      <c r="Q981">
        <v>425</v>
      </c>
      <c r="R981">
        <v>24</v>
      </c>
      <c r="S981" t="s">
        <v>7171</v>
      </c>
      <c r="T981" t="s">
        <v>7172</v>
      </c>
      <c r="U981" t="s">
        <v>87</v>
      </c>
      <c r="V981" t="s">
        <v>7173</v>
      </c>
      <c r="X981" t="s">
        <v>7175</v>
      </c>
      <c r="Y981" t="b">
        <f t="shared" si="15"/>
        <v>1</v>
      </c>
    </row>
    <row r="982" spans="1:25">
      <c r="A982" s="11" t="s">
        <v>9939</v>
      </c>
      <c r="B982" t="s">
        <v>16</v>
      </c>
      <c r="C982" s="2" t="s">
        <v>8334</v>
      </c>
      <c r="D982" t="s">
        <v>7177</v>
      </c>
      <c r="E982" t="s">
        <v>7176</v>
      </c>
      <c r="F982" s="21">
        <v>1</v>
      </c>
      <c r="H982" t="s">
        <v>7181</v>
      </c>
      <c r="I982">
        <v>1</v>
      </c>
      <c r="K982" t="s">
        <v>1168</v>
      </c>
      <c r="M982" t="str">
        <f>"19481985"</f>
        <v>19481985</v>
      </c>
      <c r="N982" s="2" t="str">
        <f>"20140901"</f>
        <v>20140901</v>
      </c>
      <c r="O982">
        <v>5</v>
      </c>
      <c r="P982">
        <v>3</v>
      </c>
      <c r="Q982">
        <v>200</v>
      </c>
      <c r="R982">
        <v>6</v>
      </c>
      <c r="S982" t="s">
        <v>7178</v>
      </c>
      <c r="T982" t="s">
        <v>7179</v>
      </c>
      <c r="U982" t="s">
        <v>183</v>
      </c>
      <c r="V982" t="s">
        <v>7180</v>
      </c>
      <c r="X982" t="s">
        <v>7182</v>
      </c>
      <c r="Y982" t="b">
        <f t="shared" si="15"/>
        <v>0</v>
      </c>
    </row>
    <row r="983" spans="1:25">
      <c r="A983" s="11" t="s">
        <v>9939</v>
      </c>
      <c r="B983" t="s">
        <v>16</v>
      </c>
      <c r="C983" s="2" t="s">
        <v>8345</v>
      </c>
      <c r="D983" t="s">
        <v>7184</v>
      </c>
      <c r="E983" t="s">
        <v>7183</v>
      </c>
      <c r="F983" s="21">
        <v>1</v>
      </c>
      <c r="H983" t="s">
        <v>7188</v>
      </c>
      <c r="I983">
        <v>1</v>
      </c>
      <c r="K983" t="s">
        <v>6905</v>
      </c>
      <c r="M983" t="str">
        <f>"00917435"</f>
        <v>00917435</v>
      </c>
      <c r="N983" s="2" t="str">
        <f>"20201201"</f>
        <v>20201201</v>
      </c>
      <c r="O983">
        <v>141</v>
      </c>
      <c r="S983" t="s">
        <v>7185</v>
      </c>
      <c r="T983" t="s">
        <v>7186</v>
      </c>
      <c r="U983" t="s">
        <v>34</v>
      </c>
      <c r="V983" t="s">
        <v>7187</v>
      </c>
      <c r="X983" t="s">
        <v>7189</v>
      </c>
      <c r="Y983" t="b">
        <f t="shared" si="15"/>
        <v>0</v>
      </c>
    </row>
    <row r="984" spans="1:25">
      <c r="A984" s="11" t="s">
        <v>9939</v>
      </c>
      <c r="B984" t="s">
        <v>16</v>
      </c>
      <c r="C984" s="2" t="s">
        <v>8343</v>
      </c>
      <c r="D984" t="s">
        <v>7191</v>
      </c>
      <c r="E984" t="s">
        <v>7190</v>
      </c>
      <c r="F984" s="21">
        <v>1</v>
      </c>
      <c r="H984" t="s">
        <v>7194</v>
      </c>
      <c r="I984">
        <v>1</v>
      </c>
      <c r="K984" t="s">
        <v>117</v>
      </c>
      <c r="M984" t="str">
        <f>"16579267"</f>
        <v>16579267</v>
      </c>
      <c r="N984" s="2" t="str">
        <f>"20170101"</f>
        <v>20170101</v>
      </c>
      <c r="O984">
        <v>16</v>
      </c>
      <c r="P984">
        <v>5</v>
      </c>
      <c r="Q984">
        <v>1</v>
      </c>
      <c r="R984">
        <v>14</v>
      </c>
      <c r="S984" t="s">
        <v>7192</v>
      </c>
      <c r="U984" t="s">
        <v>119</v>
      </c>
      <c r="V984" t="s">
        <v>7193</v>
      </c>
      <c r="X984" t="s">
        <v>7195</v>
      </c>
      <c r="Y984" t="b">
        <f t="shared" si="15"/>
        <v>0</v>
      </c>
    </row>
    <row r="985" spans="1:25" hidden="1">
      <c r="A985" s="11" t="s">
        <v>9939</v>
      </c>
      <c r="B985" t="s">
        <v>69</v>
      </c>
      <c r="C985" s="2" t="s">
        <v>8346</v>
      </c>
      <c r="D985" t="s">
        <v>7197</v>
      </c>
      <c r="E985" t="s">
        <v>7196</v>
      </c>
      <c r="H985" t="s">
        <v>7200</v>
      </c>
      <c r="K985" t="s">
        <v>101</v>
      </c>
      <c r="L985" t="str">
        <f>"9781124079424"</f>
        <v>9781124079424</v>
      </c>
      <c r="M985" t="str">
        <f>"04194217"</f>
        <v>04194217</v>
      </c>
      <c r="N985" s="2" t="str">
        <f>"20110101"</f>
        <v>20110101</v>
      </c>
      <c r="O985">
        <v>71</v>
      </c>
      <c r="P985" t="s">
        <v>2857</v>
      </c>
      <c r="Q985">
        <v>5133</v>
      </c>
      <c r="R985">
        <v>1</v>
      </c>
      <c r="S985" t="s">
        <v>7198</v>
      </c>
      <c r="U985" t="s">
        <v>68</v>
      </c>
      <c r="V985" t="s">
        <v>7199</v>
      </c>
      <c r="X985" t="s">
        <v>7201</v>
      </c>
      <c r="Y985" t="b">
        <f t="shared" si="15"/>
        <v>1</v>
      </c>
    </row>
    <row r="986" spans="1:25" hidden="1">
      <c r="A986" s="11" t="s">
        <v>9939</v>
      </c>
      <c r="B986" t="s">
        <v>69</v>
      </c>
      <c r="C986" s="2" t="s">
        <v>8344</v>
      </c>
      <c r="D986" t="s">
        <v>7203</v>
      </c>
      <c r="E986" t="s">
        <v>7202</v>
      </c>
      <c r="F986" s="20">
        <v>0</v>
      </c>
      <c r="G986" t="s">
        <v>9178</v>
      </c>
      <c r="H986" t="s">
        <v>7206</v>
      </c>
      <c r="K986" t="s">
        <v>101</v>
      </c>
      <c r="L986" t="str">
        <f>"9781109691528"</f>
        <v>9781109691528</v>
      </c>
      <c r="M986" t="str">
        <f>"04194217"</f>
        <v>04194217</v>
      </c>
      <c r="N986" s="2" t="str">
        <f>"20100101"</f>
        <v>20100101</v>
      </c>
      <c r="O986">
        <v>71</v>
      </c>
      <c r="P986" t="s">
        <v>3486</v>
      </c>
      <c r="Q986">
        <v>2314</v>
      </c>
      <c r="R986">
        <v>1</v>
      </c>
      <c r="S986" t="s">
        <v>7204</v>
      </c>
      <c r="U986" t="s">
        <v>68</v>
      </c>
      <c r="V986" t="s">
        <v>7205</v>
      </c>
      <c r="X986" t="s">
        <v>7207</v>
      </c>
      <c r="Y986" t="b">
        <f t="shared" si="15"/>
        <v>0</v>
      </c>
    </row>
    <row r="987" spans="1:25" hidden="1">
      <c r="A987" s="11" t="s">
        <v>9939</v>
      </c>
      <c r="B987" t="s">
        <v>16</v>
      </c>
      <c r="C987" s="2" t="s">
        <v>8344</v>
      </c>
      <c r="D987" t="s">
        <v>7209</v>
      </c>
      <c r="E987" t="s">
        <v>7208</v>
      </c>
      <c r="F987" s="20">
        <v>0</v>
      </c>
      <c r="G987" t="s">
        <v>9237</v>
      </c>
      <c r="H987" t="s">
        <v>7213</v>
      </c>
      <c r="K987" t="s">
        <v>401</v>
      </c>
      <c r="M987" t="str">
        <f>"15409996"</f>
        <v>15409996</v>
      </c>
      <c r="N987" s="2" t="str">
        <f>"20100501"</f>
        <v>20100501</v>
      </c>
      <c r="O987">
        <v>19</v>
      </c>
      <c r="P987">
        <v>5</v>
      </c>
      <c r="Q987">
        <v>975</v>
      </c>
      <c r="R987">
        <v>11</v>
      </c>
      <c r="S987" t="s">
        <v>7210</v>
      </c>
      <c r="T987" t="s">
        <v>7211</v>
      </c>
      <c r="U987" t="s">
        <v>404</v>
      </c>
      <c r="V987" t="s">
        <v>7212</v>
      </c>
      <c r="X987" t="s">
        <v>7214</v>
      </c>
      <c r="Y987" t="b">
        <f t="shared" si="15"/>
        <v>0</v>
      </c>
    </row>
    <row r="988" spans="1:25">
      <c r="A988" s="11" t="s">
        <v>9939</v>
      </c>
      <c r="B988" t="s">
        <v>16</v>
      </c>
      <c r="C988" s="2" t="s">
        <v>8337</v>
      </c>
      <c r="D988" t="s">
        <v>7216</v>
      </c>
      <c r="E988" t="s">
        <v>7215</v>
      </c>
      <c r="F988" s="21">
        <v>1</v>
      </c>
      <c r="H988" t="s">
        <v>7220</v>
      </c>
      <c r="I988">
        <v>1</v>
      </c>
      <c r="K988" t="s">
        <v>347</v>
      </c>
      <c r="M988" t="str">
        <f>"00900036"</f>
        <v>00900036</v>
      </c>
      <c r="N988" s="2" t="str">
        <f>"20130801"</f>
        <v>20130801</v>
      </c>
      <c r="O988">
        <v>103</v>
      </c>
      <c r="P988">
        <v>8</v>
      </c>
      <c r="Q988">
        <v>1516</v>
      </c>
      <c r="R988">
        <v>8</v>
      </c>
      <c r="S988" t="s">
        <v>7217</v>
      </c>
      <c r="T988" t="s">
        <v>7218</v>
      </c>
      <c r="U988" t="s">
        <v>350</v>
      </c>
      <c r="V988" t="s">
        <v>7219</v>
      </c>
      <c r="X988" t="s">
        <v>7221</v>
      </c>
      <c r="Y988" t="b">
        <f t="shared" si="15"/>
        <v>0</v>
      </c>
    </row>
    <row r="989" spans="1:25">
      <c r="A989" s="11" t="s">
        <v>9939</v>
      </c>
      <c r="B989" t="s">
        <v>16</v>
      </c>
      <c r="C989" s="2" t="s">
        <v>8340</v>
      </c>
      <c r="D989" t="s">
        <v>7223</v>
      </c>
      <c r="E989" t="s">
        <v>7222</v>
      </c>
      <c r="F989" s="21">
        <v>1</v>
      </c>
      <c r="H989" t="s">
        <v>7228</v>
      </c>
      <c r="I989">
        <v>0</v>
      </c>
      <c r="J989" t="s">
        <v>9178</v>
      </c>
      <c r="K989" t="s">
        <v>7224</v>
      </c>
      <c r="M989" t="str">
        <f>"07307659"</f>
        <v>07307659</v>
      </c>
      <c r="N989" s="2" t="str">
        <f>"20180301"</f>
        <v>20180301</v>
      </c>
      <c r="O989">
        <v>45</v>
      </c>
      <c r="P989">
        <v>1</v>
      </c>
      <c r="Q989">
        <v>94</v>
      </c>
      <c r="R989">
        <v>9</v>
      </c>
      <c r="S989" t="s">
        <v>7225</v>
      </c>
      <c r="T989" t="s">
        <v>7226</v>
      </c>
      <c r="U989" t="s">
        <v>730</v>
      </c>
      <c r="V989" t="s">
        <v>7227</v>
      </c>
      <c r="X989" t="s">
        <v>7229</v>
      </c>
      <c r="Y989" t="b">
        <f t="shared" si="15"/>
        <v>0</v>
      </c>
    </row>
    <row r="990" spans="1:25" hidden="1">
      <c r="A990" s="11" t="s">
        <v>9939</v>
      </c>
      <c r="B990" t="s">
        <v>16</v>
      </c>
      <c r="C990" s="2" t="s">
        <v>8342</v>
      </c>
      <c r="D990" t="s">
        <v>7231</v>
      </c>
      <c r="E990" t="s">
        <v>7230</v>
      </c>
      <c r="F990" s="20">
        <v>0</v>
      </c>
      <c r="G990" t="s">
        <v>9249</v>
      </c>
      <c r="H990" t="s">
        <v>7235</v>
      </c>
      <c r="K990" t="s">
        <v>703</v>
      </c>
      <c r="M990" t="str">
        <f>"00219029"</f>
        <v>00219029</v>
      </c>
      <c r="N990" s="2" t="str">
        <f>"20121201"</f>
        <v>20121201</v>
      </c>
      <c r="O990">
        <v>42</v>
      </c>
      <c r="P990">
        <v>12</v>
      </c>
      <c r="Q990">
        <v>3051</v>
      </c>
      <c r="R990">
        <v>32</v>
      </c>
      <c r="S990" t="s">
        <v>7232</v>
      </c>
      <c r="T990" t="s">
        <v>7233</v>
      </c>
      <c r="U990" t="s">
        <v>730</v>
      </c>
      <c r="V990" t="s">
        <v>7234</v>
      </c>
      <c r="X990" t="s">
        <v>7236</v>
      </c>
      <c r="Y990" t="b">
        <f t="shared" si="15"/>
        <v>0</v>
      </c>
    </row>
    <row r="991" spans="1:25" hidden="1">
      <c r="A991" s="11" t="s">
        <v>9939</v>
      </c>
      <c r="B991" t="s">
        <v>69</v>
      </c>
      <c r="C991" s="2" t="s">
        <v>8353</v>
      </c>
      <c r="D991" t="s">
        <v>7238</v>
      </c>
      <c r="E991" t="s">
        <v>7237</v>
      </c>
      <c r="H991" t="s">
        <v>7241</v>
      </c>
      <c r="K991" t="s">
        <v>101</v>
      </c>
      <c r="L991" t="str">
        <f>"9781339058962"</f>
        <v>9781339058962</v>
      </c>
      <c r="M991" t="str">
        <f>"04194217"</f>
        <v>04194217</v>
      </c>
      <c r="N991" s="2" t="str">
        <f>"20160101"</f>
        <v>20160101</v>
      </c>
      <c r="O991">
        <v>76</v>
      </c>
      <c r="P991" t="s">
        <v>1324</v>
      </c>
      <c r="S991" t="s">
        <v>7239</v>
      </c>
      <c r="U991" t="s">
        <v>68</v>
      </c>
      <c r="V991" t="s">
        <v>7240</v>
      </c>
      <c r="X991" t="s">
        <v>7242</v>
      </c>
      <c r="Y991" t="b">
        <f t="shared" si="15"/>
        <v>1</v>
      </c>
    </row>
    <row r="992" spans="1:25" hidden="1">
      <c r="A992" s="11" t="s">
        <v>9939</v>
      </c>
      <c r="B992" t="s">
        <v>69</v>
      </c>
      <c r="C992" s="2" t="s">
        <v>8339</v>
      </c>
      <c r="D992" t="s">
        <v>7244</v>
      </c>
      <c r="E992" t="s">
        <v>7243</v>
      </c>
      <c r="H992" t="s">
        <v>7247</v>
      </c>
      <c r="K992" t="s">
        <v>101</v>
      </c>
      <c r="L992" t="str">
        <f>"9781303900457"</f>
        <v>9781303900457</v>
      </c>
      <c r="M992" t="str">
        <f>"04194217"</f>
        <v>04194217</v>
      </c>
      <c r="N992" s="2" t="str">
        <f>"20150101"</f>
        <v>20150101</v>
      </c>
      <c r="O992">
        <v>75</v>
      </c>
      <c r="P992" t="s">
        <v>4600</v>
      </c>
      <c r="S992" t="s">
        <v>7245</v>
      </c>
      <c r="U992" t="s">
        <v>68</v>
      </c>
      <c r="V992" t="s">
        <v>7246</v>
      </c>
      <c r="X992" t="s">
        <v>7248</v>
      </c>
      <c r="Y992" t="b">
        <f t="shared" si="15"/>
        <v>1</v>
      </c>
    </row>
    <row r="993" spans="1:25">
      <c r="A993" s="11" t="s">
        <v>9939</v>
      </c>
      <c r="B993" t="s">
        <v>16</v>
      </c>
      <c r="C993" s="2" t="s">
        <v>8341</v>
      </c>
      <c r="D993" t="s">
        <v>7250</v>
      </c>
      <c r="E993" t="s">
        <v>7249</v>
      </c>
      <c r="F993" s="21">
        <v>1</v>
      </c>
      <c r="H993" t="s">
        <v>7255</v>
      </c>
      <c r="I993">
        <v>0</v>
      </c>
      <c r="J993" t="s">
        <v>9245</v>
      </c>
      <c r="K993" t="s">
        <v>7251</v>
      </c>
      <c r="M993" t="str">
        <f>"10579249"</f>
        <v>10579249</v>
      </c>
      <c r="N993" s="2" t="str">
        <f>"20090901"</f>
        <v>20090901</v>
      </c>
      <c r="O993">
        <v>18</v>
      </c>
      <c r="P993">
        <v>9</v>
      </c>
      <c r="Q993">
        <v>945</v>
      </c>
      <c r="R993">
        <v>11</v>
      </c>
      <c r="S993" t="s">
        <v>7252</v>
      </c>
      <c r="T993" t="s">
        <v>7253</v>
      </c>
      <c r="U993" t="s">
        <v>224</v>
      </c>
      <c r="V993" t="s">
        <v>7254</v>
      </c>
      <c r="X993" t="s">
        <v>7256</v>
      </c>
      <c r="Y993" t="b">
        <f t="shared" si="15"/>
        <v>0</v>
      </c>
    </row>
    <row r="994" spans="1:25" hidden="1">
      <c r="A994" s="11" t="s">
        <v>9939</v>
      </c>
      <c r="B994" t="s">
        <v>395</v>
      </c>
      <c r="C994" s="2" t="s">
        <v>8344</v>
      </c>
      <c r="D994" t="s">
        <v>7258</v>
      </c>
      <c r="E994" t="s">
        <v>7257</v>
      </c>
      <c r="H994" t="s">
        <v>7261</v>
      </c>
      <c r="K994" t="s">
        <v>3209</v>
      </c>
      <c r="L994" t="str">
        <f>"9812837868; 9789812837868"</f>
        <v>9812837868; 9789812837868</v>
      </c>
      <c r="N994" s="2" t="str">
        <f>"20100101"</f>
        <v>20100101</v>
      </c>
      <c r="Q994">
        <v>241</v>
      </c>
      <c r="R994">
        <v>29</v>
      </c>
      <c r="S994" t="s">
        <v>7259</v>
      </c>
      <c r="U994" t="s">
        <v>3211</v>
      </c>
      <c r="V994" t="s">
        <v>7260</v>
      </c>
      <c r="X994" t="s">
        <v>7262</v>
      </c>
      <c r="Y994" t="b">
        <f t="shared" si="15"/>
        <v>1</v>
      </c>
    </row>
    <row r="995" spans="1:25" hidden="1">
      <c r="A995" s="11" t="s">
        <v>9939</v>
      </c>
      <c r="B995" t="s">
        <v>16</v>
      </c>
      <c r="C995" s="2" t="s">
        <v>8341</v>
      </c>
      <c r="D995" t="s">
        <v>7264</v>
      </c>
      <c r="E995" t="s">
        <v>7263</v>
      </c>
      <c r="F995" s="20">
        <v>0</v>
      </c>
      <c r="G995" t="s">
        <v>9950</v>
      </c>
      <c r="H995" t="s">
        <v>7268</v>
      </c>
      <c r="K995" t="s">
        <v>1414</v>
      </c>
      <c r="M995" t="str">
        <f>"13557858"</f>
        <v>13557858</v>
      </c>
      <c r="N995" s="2" t="str">
        <f>"20090201"</f>
        <v>20090201</v>
      </c>
      <c r="O995">
        <v>14</v>
      </c>
      <c r="P995">
        <v>1</v>
      </c>
      <c r="Q995">
        <v>93</v>
      </c>
      <c r="R995">
        <v>13</v>
      </c>
      <c r="S995" t="s">
        <v>7265</v>
      </c>
      <c r="T995" t="s">
        <v>7266</v>
      </c>
      <c r="U995" t="s">
        <v>87</v>
      </c>
      <c r="V995" t="s">
        <v>7267</v>
      </c>
      <c r="X995" t="s">
        <v>7269</v>
      </c>
      <c r="Y995" t="b">
        <f t="shared" si="15"/>
        <v>0</v>
      </c>
    </row>
    <row r="996" spans="1:25" hidden="1">
      <c r="A996" s="11" t="s">
        <v>9939</v>
      </c>
      <c r="B996" t="s">
        <v>69</v>
      </c>
      <c r="C996" s="2" t="s">
        <v>8353</v>
      </c>
      <c r="D996" t="s">
        <v>7271</v>
      </c>
      <c r="E996" t="s">
        <v>7270</v>
      </c>
      <c r="H996" t="s">
        <v>7274</v>
      </c>
      <c r="K996" t="s">
        <v>65</v>
      </c>
      <c r="L996" t="str">
        <f>"9781321835229"</f>
        <v>9781321835229</v>
      </c>
      <c r="M996" t="str">
        <f>"04194209"</f>
        <v>04194209</v>
      </c>
      <c r="N996" s="2" t="str">
        <f>"20160101"</f>
        <v>20160101</v>
      </c>
      <c r="O996">
        <v>76</v>
      </c>
      <c r="P996" t="s">
        <v>6338</v>
      </c>
      <c r="S996" t="s">
        <v>7272</v>
      </c>
      <c r="U996" t="s">
        <v>68</v>
      </c>
      <c r="V996" t="s">
        <v>7273</v>
      </c>
      <c r="X996" t="s">
        <v>7275</v>
      </c>
      <c r="Y996" t="b">
        <f t="shared" si="15"/>
        <v>1</v>
      </c>
    </row>
    <row r="997" spans="1:25">
      <c r="A997" s="11" t="s">
        <v>9939</v>
      </c>
      <c r="B997" t="s">
        <v>16</v>
      </c>
      <c r="C997" s="2" t="s">
        <v>8334</v>
      </c>
      <c r="D997" t="s">
        <v>7277</v>
      </c>
      <c r="E997" t="s">
        <v>7276</v>
      </c>
      <c r="F997" s="21">
        <v>1</v>
      </c>
      <c r="H997" t="s">
        <v>7281</v>
      </c>
      <c r="I997">
        <v>1</v>
      </c>
      <c r="K997" t="s">
        <v>1233</v>
      </c>
      <c r="M997" t="str">
        <f>"11387416"</f>
        <v>11387416</v>
      </c>
      <c r="N997" s="2" t="str">
        <f>"20140708"</f>
        <v>20140708</v>
      </c>
      <c r="O997">
        <v>17</v>
      </c>
      <c r="S997" t="s">
        <v>7278</v>
      </c>
      <c r="T997" t="s">
        <v>7279</v>
      </c>
      <c r="U997" t="s">
        <v>333</v>
      </c>
      <c r="V997" t="s">
        <v>7280</v>
      </c>
      <c r="X997" t="s">
        <v>7282</v>
      </c>
      <c r="Y997" t="b">
        <f t="shared" si="15"/>
        <v>0</v>
      </c>
    </row>
    <row r="998" spans="1:25" hidden="1">
      <c r="A998" s="11" t="s">
        <v>9939</v>
      </c>
      <c r="B998" t="s">
        <v>16</v>
      </c>
      <c r="C998" s="2" t="s">
        <v>8339</v>
      </c>
      <c r="D998" t="s">
        <v>7009</v>
      </c>
      <c r="E998" t="s">
        <v>7283</v>
      </c>
      <c r="F998" s="20">
        <v>0</v>
      </c>
      <c r="G998" t="s">
        <v>9178</v>
      </c>
      <c r="H998" t="s">
        <v>7287</v>
      </c>
      <c r="K998" t="s">
        <v>970</v>
      </c>
      <c r="M998" t="str">
        <f>"10999809"</f>
        <v>10999809</v>
      </c>
      <c r="N998" s="2" t="str">
        <f>"20150101"</f>
        <v>20150101</v>
      </c>
      <c r="O998">
        <v>21</v>
      </c>
      <c r="P998">
        <v>1</v>
      </c>
      <c r="Q998">
        <v>19</v>
      </c>
      <c r="R998">
        <v>12</v>
      </c>
      <c r="S998" t="s">
        <v>7284</v>
      </c>
      <c r="T998" t="s">
        <v>7285</v>
      </c>
      <c r="U998" t="s">
        <v>183</v>
      </c>
      <c r="V998" t="s">
        <v>7286</v>
      </c>
      <c r="X998" t="s">
        <v>7288</v>
      </c>
      <c r="Y998" t="b">
        <f t="shared" si="15"/>
        <v>0</v>
      </c>
    </row>
    <row r="999" spans="1:25">
      <c r="A999" s="11" t="s">
        <v>9939</v>
      </c>
      <c r="B999" t="s">
        <v>16</v>
      </c>
      <c r="C999" s="2" t="s">
        <v>8353</v>
      </c>
      <c r="D999" t="s">
        <v>7290</v>
      </c>
      <c r="E999" t="s">
        <v>7289</v>
      </c>
      <c r="F999" s="21">
        <v>1</v>
      </c>
      <c r="H999" t="s">
        <v>7295</v>
      </c>
      <c r="I999">
        <v>1</v>
      </c>
      <c r="J999" t="s">
        <v>9952</v>
      </c>
      <c r="K999" t="s">
        <v>7291</v>
      </c>
      <c r="M999" t="str">
        <f>"21573883"</f>
        <v>21573883</v>
      </c>
      <c r="N999" s="2" t="str">
        <f>"20160101"</f>
        <v>20160101</v>
      </c>
      <c r="O999">
        <v>5</v>
      </c>
      <c r="P999">
        <v>1</v>
      </c>
      <c r="Q999">
        <v>1</v>
      </c>
      <c r="R999">
        <v>17</v>
      </c>
      <c r="S999" t="s">
        <v>7292</v>
      </c>
      <c r="T999" t="s">
        <v>7293</v>
      </c>
      <c r="U999" t="s">
        <v>183</v>
      </c>
      <c r="V999" t="s">
        <v>7294</v>
      </c>
      <c r="X999" t="s">
        <v>7296</v>
      </c>
      <c r="Y999" t="b">
        <f t="shared" si="15"/>
        <v>0</v>
      </c>
    </row>
    <row r="1000" spans="1:25">
      <c r="A1000" s="11" t="s">
        <v>9939</v>
      </c>
      <c r="B1000" t="s">
        <v>16</v>
      </c>
      <c r="C1000" s="2" t="s">
        <v>8347</v>
      </c>
      <c r="D1000" t="s">
        <v>7298</v>
      </c>
      <c r="E1000" t="s">
        <v>7297</v>
      </c>
      <c r="F1000" s="21">
        <v>1</v>
      </c>
      <c r="H1000" t="s">
        <v>7302</v>
      </c>
      <c r="I1000">
        <v>1</v>
      </c>
      <c r="K1000" t="s">
        <v>40</v>
      </c>
      <c r="M1000" t="str">
        <f>"15571912"</f>
        <v>15571912</v>
      </c>
      <c r="N1000" s="2" t="str">
        <f>"20081201"</f>
        <v>20081201</v>
      </c>
      <c r="O1000">
        <v>10</v>
      </c>
      <c r="P1000">
        <v>6</v>
      </c>
      <c r="Q1000">
        <v>497</v>
      </c>
      <c r="R1000">
        <v>9</v>
      </c>
      <c r="S1000" t="s">
        <v>7299</v>
      </c>
      <c r="T1000" t="s">
        <v>7300</v>
      </c>
      <c r="U1000" t="s">
        <v>42</v>
      </c>
      <c r="V1000" t="s">
        <v>7301</v>
      </c>
      <c r="X1000" t="s">
        <v>7303</v>
      </c>
      <c r="Y1000" t="b">
        <f t="shared" si="15"/>
        <v>0</v>
      </c>
    </row>
    <row r="1001" spans="1:25" hidden="1">
      <c r="A1001" s="11" t="s">
        <v>9939</v>
      </c>
      <c r="B1001" t="s">
        <v>16</v>
      </c>
      <c r="C1001" s="2" t="s">
        <v>8341</v>
      </c>
      <c r="D1001" t="s">
        <v>7305</v>
      </c>
      <c r="E1001" t="s">
        <v>7304</v>
      </c>
      <c r="H1001" t="s">
        <v>7309</v>
      </c>
      <c r="K1001" t="s">
        <v>878</v>
      </c>
      <c r="M1001" t="str">
        <f>"10693971"</f>
        <v>10693971</v>
      </c>
      <c r="N1001" s="2" t="str">
        <f>"20090201"</f>
        <v>20090201</v>
      </c>
      <c r="O1001">
        <v>43</v>
      </c>
      <c r="P1001">
        <v>1</v>
      </c>
      <c r="Q1001">
        <v>46</v>
      </c>
      <c r="R1001">
        <v>16</v>
      </c>
      <c r="S1001" t="s">
        <v>7306</v>
      </c>
      <c r="T1001" t="s">
        <v>7307</v>
      </c>
      <c r="U1001" t="s">
        <v>15</v>
      </c>
      <c r="V1001" t="s">
        <v>7308</v>
      </c>
      <c r="X1001" t="s">
        <v>7310</v>
      </c>
      <c r="Y1001" t="b">
        <f t="shared" si="15"/>
        <v>1</v>
      </c>
    </row>
    <row r="1002" spans="1:25">
      <c r="A1002" s="11" t="s">
        <v>9939</v>
      </c>
      <c r="B1002" t="s">
        <v>16</v>
      </c>
      <c r="C1002" s="2" t="s">
        <v>8347</v>
      </c>
      <c r="D1002" t="s">
        <v>7312</v>
      </c>
      <c r="E1002" t="s">
        <v>7311</v>
      </c>
      <c r="F1002" s="21">
        <v>1</v>
      </c>
      <c r="H1002" t="s">
        <v>7316</v>
      </c>
      <c r="I1002">
        <v>0</v>
      </c>
      <c r="J1002" t="s">
        <v>9245</v>
      </c>
      <c r="K1002" t="s">
        <v>347</v>
      </c>
      <c r="M1002" t="str">
        <f>"00900036"</f>
        <v>00900036</v>
      </c>
      <c r="N1002" s="2" t="str">
        <f>"20080501"</f>
        <v>20080501</v>
      </c>
      <c r="O1002">
        <v>98</v>
      </c>
      <c r="P1002">
        <v>5</v>
      </c>
      <c r="Q1002">
        <v>862</v>
      </c>
      <c r="R1002">
        <v>7</v>
      </c>
      <c r="S1002" t="s">
        <v>7313</v>
      </c>
      <c r="T1002" t="s">
        <v>7314</v>
      </c>
      <c r="U1002" t="s">
        <v>350</v>
      </c>
      <c r="V1002" t="s">
        <v>7315</v>
      </c>
      <c r="X1002" t="s">
        <v>7317</v>
      </c>
      <c r="Y1002" t="b">
        <f t="shared" si="15"/>
        <v>0</v>
      </c>
    </row>
    <row r="1003" spans="1:25" hidden="1">
      <c r="A1003" s="11" t="s">
        <v>9939</v>
      </c>
      <c r="B1003" t="s">
        <v>16</v>
      </c>
      <c r="C1003" s="2" t="s">
        <v>8341</v>
      </c>
      <c r="D1003" t="s">
        <v>7319</v>
      </c>
      <c r="E1003" t="s">
        <v>7318</v>
      </c>
      <c r="H1003" t="s">
        <v>7322</v>
      </c>
      <c r="K1003" t="s">
        <v>6614</v>
      </c>
      <c r="M1003" t="str">
        <f>"11065737"</f>
        <v>11065737</v>
      </c>
      <c r="N1003" s="2" t="str">
        <f>"20090901"</f>
        <v>20090901</v>
      </c>
      <c r="O1003">
        <v>16</v>
      </c>
      <c r="P1003">
        <v>3</v>
      </c>
      <c r="Q1003">
        <v>302</v>
      </c>
      <c r="R1003">
        <v>19</v>
      </c>
      <c r="S1003" t="s">
        <v>7320</v>
      </c>
      <c r="U1003" t="s">
        <v>6616</v>
      </c>
      <c r="V1003" t="s">
        <v>7321</v>
      </c>
      <c r="X1003" t="s">
        <v>7323</v>
      </c>
      <c r="Y1003" t="b">
        <f t="shared" si="15"/>
        <v>1</v>
      </c>
    </row>
    <row r="1004" spans="1:25" hidden="1">
      <c r="A1004" s="11" t="s">
        <v>9939</v>
      </c>
      <c r="B1004" t="s">
        <v>16</v>
      </c>
      <c r="C1004" s="2" t="s">
        <v>8346</v>
      </c>
      <c r="D1004" t="s">
        <v>7325</v>
      </c>
      <c r="E1004" t="s">
        <v>7324</v>
      </c>
      <c r="F1004" s="20">
        <v>0</v>
      </c>
      <c r="G1004" t="s">
        <v>9237</v>
      </c>
      <c r="H1004" t="s">
        <v>7331</v>
      </c>
      <c r="K1004" t="s">
        <v>7326</v>
      </c>
      <c r="M1004" t="str">
        <f>"01611461"</f>
        <v>01611461</v>
      </c>
      <c r="N1004" s="2" t="str">
        <f>"20111001"</f>
        <v>20111001</v>
      </c>
      <c r="O1004">
        <v>42</v>
      </c>
      <c r="P1004">
        <v>4</v>
      </c>
      <c r="Q1004">
        <v>491</v>
      </c>
      <c r="R1004">
        <v>15</v>
      </c>
      <c r="S1004" t="s">
        <v>7327</v>
      </c>
      <c r="T1004" t="s">
        <v>7328</v>
      </c>
      <c r="U1004" t="s">
        <v>7329</v>
      </c>
      <c r="V1004" t="s">
        <v>7330</v>
      </c>
      <c r="X1004" t="s">
        <v>7332</v>
      </c>
      <c r="Y1004" t="b">
        <f t="shared" si="15"/>
        <v>0</v>
      </c>
    </row>
    <row r="1005" spans="1:25" hidden="1">
      <c r="A1005" s="11" t="s">
        <v>9939</v>
      </c>
      <c r="B1005" t="s">
        <v>395</v>
      </c>
      <c r="C1005" s="2" t="s">
        <v>8342</v>
      </c>
      <c r="D1005" t="s">
        <v>7334</v>
      </c>
      <c r="E1005" t="s">
        <v>7333</v>
      </c>
      <c r="F1005" s="20">
        <v>0</v>
      </c>
      <c r="G1005" t="s">
        <v>9178</v>
      </c>
      <c r="H1005" t="s">
        <v>7338</v>
      </c>
      <c r="K1005" t="s">
        <v>7335</v>
      </c>
      <c r="L1005" t="str">
        <f>"9781621003274; 9781621003724"</f>
        <v>9781621003274; 9781621003724</v>
      </c>
      <c r="N1005" s="2" t="str">
        <f>"20120101"</f>
        <v>20120101</v>
      </c>
      <c r="Q1005">
        <v>295</v>
      </c>
      <c r="R1005">
        <v>11</v>
      </c>
      <c r="S1005" t="s">
        <v>7336</v>
      </c>
      <c r="U1005" t="s">
        <v>394</v>
      </c>
      <c r="V1005" t="s">
        <v>7337</v>
      </c>
      <c r="X1005" t="s">
        <v>7339</v>
      </c>
      <c r="Y1005" t="b">
        <f t="shared" si="15"/>
        <v>0</v>
      </c>
    </row>
    <row r="1006" spans="1:25">
      <c r="A1006" s="11" t="s">
        <v>9939</v>
      </c>
      <c r="B1006" t="s">
        <v>16</v>
      </c>
      <c r="C1006" s="2" t="s">
        <v>8339</v>
      </c>
      <c r="D1006" t="s">
        <v>7341</v>
      </c>
      <c r="E1006" t="s">
        <v>7340</v>
      </c>
      <c r="F1006" s="21">
        <v>1</v>
      </c>
      <c r="H1006" t="s">
        <v>7345</v>
      </c>
      <c r="I1006">
        <v>0</v>
      </c>
      <c r="J1006" t="s">
        <v>9265</v>
      </c>
      <c r="K1006" t="s">
        <v>347</v>
      </c>
      <c r="M1006" t="str">
        <f>"00900036"</f>
        <v>00900036</v>
      </c>
      <c r="N1006" s="2" t="str">
        <f>"20150701"</f>
        <v>20150701</v>
      </c>
      <c r="O1006">
        <v>105</v>
      </c>
      <c r="P1006">
        <v>7</v>
      </c>
      <c r="Q1006">
        <v>1460</v>
      </c>
      <c r="R1006">
        <v>8</v>
      </c>
      <c r="S1006" t="s">
        <v>7342</v>
      </c>
      <c r="T1006" t="s">
        <v>7343</v>
      </c>
      <c r="U1006" t="s">
        <v>350</v>
      </c>
      <c r="V1006" t="s">
        <v>7344</v>
      </c>
      <c r="X1006" t="s">
        <v>7346</v>
      </c>
      <c r="Y1006" t="b">
        <f t="shared" si="15"/>
        <v>0</v>
      </c>
    </row>
    <row r="1007" spans="1:25" hidden="1">
      <c r="A1007" s="11" t="s">
        <v>9939</v>
      </c>
      <c r="B1007" t="s">
        <v>16</v>
      </c>
      <c r="C1007" s="2" t="s">
        <v>8353</v>
      </c>
      <c r="D1007" t="s">
        <v>7348</v>
      </c>
      <c r="E1007" t="s">
        <v>7347</v>
      </c>
      <c r="F1007" s="20">
        <v>0</v>
      </c>
      <c r="G1007" t="s">
        <v>9178</v>
      </c>
      <c r="H1007" t="s">
        <v>7353</v>
      </c>
      <c r="K1007" t="s">
        <v>7349</v>
      </c>
      <c r="M1007" t="str">
        <f>"10926771"</f>
        <v>10926771</v>
      </c>
      <c r="N1007" s="2" t="str">
        <f>"20160101"</f>
        <v>20160101</v>
      </c>
      <c r="O1007">
        <v>25</v>
      </c>
      <c r="P1007">
        <v>1</v>
      </c>
      <c r="Q1007">
        <v>33</v>
      </c>
      <c r="R1007">
        <v>17</v>
      </c>
      <c r="S1007" t="s">
        <v>7350</v>
      </c>
      <c r="T1007" t="s">
        <v>7351</v>
      </c>
      <c r="U1007" t="s">
        <v>87</v>
      </c>
      <c r="V1007" t="s">
        <v>7352</v>
      </c>
      <c r="X1007" t="s">
        <v>7354</v>
      </c>
      <c r="Y1007" t="b">
        <f t="shared" si="15"/>
        <v>0</v>
      </c>
    </row>
    <row r="1008" spans="1:25" hidden="1">
      <c r="A1008" s="11" t="s">
        <v>9939</v>
      </c>
      <c r="B1008" t="s">
        <v>16</v>
      </c>
      <c r="C1008" s="2" t="s">
        <v>8347</v>
      </c>
      <c r="D1008" t="s">
        <v>7356</v>
      </c>
      <c r="E1008" t="s">
        <v>7355</v>
      </c>
      <c r="H1008" t="s">
        <v>7360</v>
      </c>
      <c r="K1008" t="s">
        <v>40</v>
      </c>
      <c r="M1008" t="str">
        <f>"15571912"</f>
        <v>15571912</v>
      </c>
      <c r="N1008" s="2" t="str">
        <f>"20080201"</f>
        <v>20080201</v>
      </c>
      <c r="O1008">
        <v>10</v>
      </c>
      <c r="P1008">
        <v>1</v>
      </c>
      <c r="Q1008">
        <v>73</v>
      </c>
      <c r="R1008">
        <v>8</v>
      </c>
      <c r="S1008" t="s">
        <v>7357</v>
      </c>
      <c r="T1008" t="s">
        <v>7358</v>
      </c>
      <c r="U1008" t="s">
        <v>42</v>
      </c>
      <c r="V1008" t="s">
        <v>7359</v>
      </c>
      <c r="X1008" t="s">
        <v>7361</v>
      </c>
      <c r="Y1008" t="b">
        <f t="shared" si="15"/>
        <v>1</v>
      </c>
    </row>
    <row r="1009" spans="1:25" hidden="1">
      <c r="A1009" s="11" t="s">
        <v>9939</v>
      </c>
      <c r="B1009" t="s">
        <v>16</v>
      </c>
      <c r="C1009" s="2" t="s">
        <v>8349</v>
      </c>
      <c r="D1009" t="s">
        <v>7363</v>
      </c>
      <c r="E1009" t="s">
        <v>7362</v>
      </c>
      <c r="F1009" s="20">
        <v>0</v>
      </c>
      <c r="G1009" t="s">
        <v>9249</v>
      </c>
      <c r="H1009" t="s">
        <v>7368</v>
      </c>
      <c r="K1009" t="s">
        <v>7364</v>
      </c>
      <c r="M1009" t="str">
        <f>"00224359"</f>
        <v>00224359</v>
      </c>
      <c r="N1009" s="2" t="str">
        <f>"20190601"</f>
        <v>20190601</v>
      </c>
      <c r="O1009">
        <v>95</v>
      </c>
      <c r="P1009">
        <v>2</v>
      </c>
      <c r="Q1009">
        <v>115</v>
      </c>
      <c r="R1009">
        <v>15</v>
      </c>
      <c r="S1009" t="s">
        <v>7365</v>
      </c>
      <c r="T1009" t="s">
        <v>7366</v>
      </c>
      <c r="U1009" t="s">
        <v>34</v>
      </c>
      <c r="V1009" t="s">
        <v>7367</v>
      </c>
      <c r="X1009" t="s">
        <v>7369</v>
      </c>
      <c r="Y1009" t="b">
        <f t="shared" si="15"/>
        <v>0</v>
      </c>
    </row>
    <row r="1010" spans="1:25">
      <c r="A1010" s="11" t="s">
        <v>9939</v>
      </c>
      <c r="B1010" t="s">
        <v>16</v>
      </c>
      <c r="C1010" s="2" t="s">
        <v>8342</v>
      </c>
      <c r="D1010" t="s">
        <v>7371</v>
      </c>
      <c r="E1010" t="s">
        <v>7370</v>
      </c>
      <c r="F1010" s="21">
        <v>1</v>
      </c>
      <c r="H1010" t="s">
        <v>7375</v>
      </c>
      <c r="I1010">
        <v>1</v>
      </c>
      <c r="K1010" t="s">
        <v>40</v>
      </c>
      <c r="M1010" t="str">
        <f>"15571912"</f>
        <v>15571912</v>
      </c>
      <c r="N1010" s="2" t="str">
        <f>"20121001"</f>
        <v>20121001</v>
      </c>
      <c r="O1010">
        <v>14</v>
      </c>
      <c r="P1010">
        <v>5</v>
      </c>
      <c r="Q1010">
        <v>875</v>
      </c>
      <c r="R1010">
        <v>10</v>
      </c>
      <c r="S1010" t="s">
        <v>7372</v>
      </c>
      <c r="T1010" t="s">
        <v>7373</v>
      </c>
      <c r="U1010" t="s">
        <v>42</v>
      </c>
      <c r="V1010" t="s">
        <v>7374</v>
      </c>
      <c r="X1010" t="s">
        <v>7376</v>
      </c>
      <c r="Y1010" t="b">
        <f t="shared" si="15"/>
        <v>0</v>
      </c>
    </row>
    <row r="1011" spans="1:25" hidden="1">
      <c r="A1011" s="11" t="s">
        <v>9939</v>
      </c>
      <c r="B1011" t="s">
        <v>16</v>
      </c>
      <c r="C1011" s="2" t="s">
        <v>8343</v>
      </c>
      <c r="D1011" t="s">
        <v>7378</v>
      </c>
      <c r="E1011" t="s">
        <v>7377</v>
      </c>
      <c r="F1011" s="20">
        <v>0</v>
      </c>
      <c r="G1011" t="s">
        <v>9178</v>
      </c>
      <c r="H1011" t="s">
        <v>7383</v>
      </c>
      <c r="K1011" t="s">
        <v>7379</v>
      </c>
      <c r="M1011" t="str">
        <f>"00910627"</f>
        <v>00910627</v>
      </c>
      <c r="N1011" s="2" t="str">
        <f>"20171001"</f>
        <v>20171001</v>
      </c>
      <c r="O1011">
        <v>45</v>
      </c>
      <c r="P1011">
        <v>7</v>
      </c>
      <c r="Q1011">
        <v>1413</v>
      </c>
      <c r="R1011">
        <v>15</v>
      </c>
      <c r="S1011" t="s">
        <v>7380</v>
      </c>
      <c r="T1011" t="s">
        <v>7381</v>
      </c>
      <c r="U1011" t="s">
        <v>42</v>
      </c>
      <c r="V1011" t="s">
        <v>7382</v>
      </c>
      <c r="X1011" t="s">
        <v>7384</v>
      </c>
      <c r="Y1011" t="b">
        <f t="shared" si="15"/>
        <v>0</v>
      </c>
    </row>
    <row r="1012" spans="1:25" hidden="1">
      <c r="A1012" s="11" t="s">
        <v>9939</v>
      </c>
      <c r="B1012" t="s">
        <v>16</v>
      </c>
      <c r="C1012" s="2" t="s">
        <v>8334</v>
      </c>
      <c r="D1012" t="s">
        <v>7386</v>
      </c>
      <c r="E1012" t="s">
        <v>7385</v>
      </c>
      <c r="H1012" t="s">
        <v>7390</v>
      </c>
      <c r="K1012" t="s">
        <v>132</v>
      </c>
      <c r="M1012" t="str">
        <f>"01471767"</f>
        <v>01471767</v>
      </c>
      <c r="N1012" s="2" t="str">
        <f>"20140501"</f>
        <v>20140501</v>
      </c>
      <c r="O1012">
        <v>40</v>
      </c>
      <c r="Q1012">
        <v>34</v>
      </c>
      <c r="R1012">
        <v>15</v>
      </c>
      <c r="S1012" t="s">
        <v>7387</v>
      </c>
      <c r="T1012" t="s">
        <v>7388</v>
      </c>
      <c r="U1012" t="s">
        <v>34</v>
      </c>
      <c r="V1012" t="s">
        <v>7389</v>
      </c>
      <c r="X1012" t="s">
        <v>7391</v>
      </c>
      <c r="Y1012" t="b">
        <f t="shared" si="15"/>
        <v>1</v>
      </c>
    </row>
    <row r="1013" spans="1:25" hidden="1">
      <c r="A1013" s="11" t="s">
        <v>9939</v>
      </c>
      <c r="B1013" t="s">
        <v>16</v>
      </c>
      <c r="C1013" s="2" t="s">
        <v>8342</v>
      </c>
      <c r="D1013" t="s">
        <v>7393</v>
      </c>
      <c r="E1013" t="s">
        <v>7392</v>
      </c>
      <c r="F1013" s="20">
        <v>0</v>
      </c>
      <c r="G1013" t="s">
        <v>9178</v>
      </c>
      <c r="H1013" t="s">
        <v>7397</v>
      </c>
      <c r="K1013" t="s">
        <v>1073</v>
      </c>
      <c r="M1013" t="str">
        <f>"13634615"</f>
        <v>13634615</v>
      </c>
      <c r="N1013" s="2" t="str">
        <f>"20120201"</f>
        <v>20120201</v>
      </c>
      <c r="O1013">
        <v>49</v>
      </c>
      <c r="P1013">
        <v>1</v>
      </c>
      <c r="Q1013">
        <v>105</v>
      </c>
      <c r="R1013">
        <v>16</v>
      </c>
      <c r="S1013" t="s">
        <v>7394</v>
      </c>
      <c r="T1013" t="s">
        <v>7395</v>
      </c>
      <c r="U1013" t="s">
        <v>15</v>
      </c>
      <c r="V1013" t="s">
        <v>7396</v>
      </c>
      <c r="X1013" t="s">
        <v>7398</v>
      </c>
      <c r="Y1013" t="b">
        <f t="shared" si="15"/>
        <v>0</v>
      </c>
    </row>
    <row r="1014" spans="1:25">
      <c r="A1014" s="11" t="s">
        <v>9939</v>
      </c>
      <c r="B1014" t="s">
        <v>16</v>
      </c>
      <c r="C1014" s="2" t="s">
        <v>8338</v>
      </c>
      <c r="D1014" t="s">
        <v>7400</v>
      </c>
      <c r="E1014" t="s">
        <v>7399</v>
      </c>
      <c r="F1014" s="21">
        <v>1</v>
      </c>
      <c r="H1014" t="s">
        <v>7404</v>
      </c>
      <c r="I1014">
        <v>1</v>
      </c>
      <c r="K1014" t="s">
        <v>961</v>
      </c>
      <c r="M1014" t="str">
        <f>"15564908"</f>
        <v>15564908</v>
      </c>
      <c r="N1014" s="2" t="str">
        <f>"20060101"</f>
        <v>20060101</v>
      </c>
      <c r="O1014">
        <v>1</v>
      </c>
      <c r="P1014">
        <v>2</v>
      </c>
      <c r="Q1014">
        <v>145</v>
      </c>
      <c r="R1014">
        <v>25</v>
      </c>
      <c r="S1014" t="s">
        <v>7401</v>
      </c>
      <c r="T1014" t="s">
        <v>7402</v>
      </c>
      <c r="U1014" t="s">
        <v>87</v>
      </c>
      <c r="V1014" t="s">
        <v>7403</v>
      </c>
      <c r="X1014" t="s">
        <v>7405</v>
      </c>
      <c r="Y1014" t="b">
        <f t="shared" si="15"/>
        <v>0</v>
      </c>
    </row>
    <row r="1015" spans="1:25" hidden="1">
      <c r="A1015" s="11" t="s">
        <v>9939</v>
      </c>
      <c r="B1015" t="s">
        <v>16</v>
      </c>
      <c r="C1015" s="2" t="s">
        <v>8338</v>
      </c>
      <c r="D1015" t="s">
        <v>7407</v>
      </c>
      <c r="E1015" t="s">
        <v>7406</v>
      </c>
      <c r="H1015" t="s">
        <v>7411</v>
      </c>
      <c r="K1015" t="s">
        <v>1414</v>
      </c>
      <c r="M1015" t="str">
        <f>"13557858"</f>
        <v>13557858</v>
      </c>
      <c r="N1015" s="2" t="str">
        <f>"20061101"</f>
        <v>20061101</v>
      </c>
      <c r="O1015">
        <v>11</v>
      </c>
      <c r="P1015">
        <v>4</v>
      </c>
      <c r="Q1015">
        <v>365</v>
      </c>
      <c r="R1015">
        <v>23</v>
      </c>
      <c r="S1015" t="s">
        <v>7408</v>
      </c>
      <c r="T1015" t="s">
        <v>7409</v>
      </c>
      <c r="U1015" t="s">
        <v>87</v>
      </c>
      <c r="V1015" t="s">
        <v>7410</v>
      </c>
      <c r="X1015" t="s">
        <v>7412</v>
      </c>
      <c r="Y1015" t="b">
        <f t="shared" si="15"/>
        <v>1</v>
      </c>
    </row>
    <row r="1016" spans="1:25">
      <c r="A1016" s="11" t="s">
        <v>9939</v>
      </c>
      <c r="B1016" t="s">
        <v>16</v>
      </c>
      <c r="C1016" s="2" t="s">
        <v>8346</v>
      </c>
      <c r="D1016" t="s">
        <v>7414</v>
      </c>
      <c r="E1016" t="s">
        <v>7413</v>
      </c>
      <c r="F1016" s="21">
        <v>1</v>
      </c>
      <c r="H1016" t="s">
        <v>7418</v>
      </c>
      <c r="I1016">
        <v>1</v>
      </c>
      <c r="K1016" t="s">
        <v>5046</v>
      </c>
      <c r="M1016" t="str">
        <f>"08982643"</f>
        <v>08982643</v>
      </c>
      <c r="N1016" s="2" t="str">
        <f>"20111001"</f>
        <v>20111001</v>
      </c>
      <c r="O1016">
        <v>23</v>
      </c>
      <c r="P1016">
        <v>7</v>
      </c>
      <c r="Q1016">
        <v>1101</v>
      </c>
      <c r="R1016">
        <v>15</v>
      </c>
      <c r="S1016" t="s">
        <v>7415</v>
      </c>
      <c r="T1016" t="s">
        <v>7416</v>
      </c>
      <c r="U1016" t="s">
        <v>15</v>
      </c>
      <c r="V1016" t="s">
        <v>7417</v>
      </c>
      <c r="X1016" t="s">
        <v>7419</v>
      </c>
      <c r="Y1016" t="b">
        <f t="shared" si="15"/>
        <v>0</v>
      </c>
    </row>
    <row r="1017" spans="1:25">
      <c r="A1017" s="11" t="s">
        <v>9939</v>
      </c>
      <c r="B1017" t="s">
        <v>16</v>
      </c>
      <c r="C1017" s="2" t="s">
        <v>8339</v>
      </c>
      <c r="D1017" t="s">
        <v>7421</v>
      </c>
      <c r="E1017" t="s">
        <v>7420</v>
      </c>
      <c r="F1017" s="21">
        <v>1</v>
      </c>
      <c r="H1017" t="s">
        <v>7425</v>
      </c>
      <c r="I1017">
        <v>1</v>
      </c>
      <c r="K1017" t="s">
        <v>810</v>
      </c>
      <c r="M1017" t="str">
        <f>"00462772"</f>
        <v>00462772</v>
      </c>
      <c r="N1017" s="2" t="str">
        <f>"20150601"</f>
        <v>20150601</v>
      </c>
      <c r="O1017">
        <v>45</v>
      </c>
      <c r="P1017">
        <v>4</v>
      </c>
      <c r="Q1017">
        <v>496</v>
      </c>
      <c r="R1017">
        <v>19</v>
      </c>
      <c r="S1017" t="s">
        <v>7422</v>
      </c>
      <c r="T1017" t="s">
        <v>7423</v>
      </c>
      <c r="U1017" t="s">
        <v>224</v>
      </c>
      <c r="V1017" t="s">
        <v>7424</v>
      </c>
      <c r="X1017" t="s">
        <v>7426</v>
      </c>
      <c r="Y1017" t="b">
        <f t="shared" si="15"/>
        <v>0</v>
      </c>
    </row>
    <row r="1018" spans="1:25">
      <c r="A1018" s="11" t="s">
        <v>9939</v>
      </c>
      <c r="B1018" t="s">
        <v>16</v>
      </c>
      <c r="C1018" s="2" t="s">
        <v>8346</v>
      </c>
      <c r="D1018" t="s">
        <v>7428</v>
      </c>
      <c r="E1018" t="s">
        <v>7427</v>
      </c>
      <c r="F1018" s="21">
        <v>1</v>
      </c>
      <c r="H1018" t="s">
        <v>7432</v>
      </c>
      <c r="I1018">
        <v>1</v>
      </c>
      <c r="K1018" t="s">
        <v>132</v>
      </c>
      <c r="M1018" t="str">
        <f>"01471767"</f>
        <v>01471767</v>
      </c>
      <c r="N1018" s="2" t="str">
        <f>"20110701"</f>
        <v>20110701</v>
      </c>
      <c r="O1018">
        <v>35</v>
      </c>
      <c r="P1018">
        <v>4</v>
      </c>
      <c r="Q1018">
        <v>499</v>
      </c>
      <c r="R1018">
        <v>12</v>
      </c>
      <c r="S1018" t="s">
        <v>7429</v>
      </c>
      <c r="T1018" t="s">
        <v>7430</v>
      </c>
      <c r="U1018" t="s">
        <v>34</v>
      </c>
      <c r="V1018" t="s">
        <v>7431</v>
      </c>
      <c r="X1018" t="s">
        <v>7433</v>
      </c>
      <c r="Y1018" t="b">
        <f t="shared" si="15"/>
        <v>0</v>
      </c>
    </row>
    <row r="1019" spans="1:25" hidden="1">
      <c r="A1019" s="11" t="s">
        <v>9939</v>
      </c>
      <c r="B1019" t="s">
        <v>16</v>
      </c>
      <c r="C1019" s="2" t="s">
        <v>8344</v>
      </c>
      <c r="D1019" t="s">
        <v>7435</v>
      </c>
      <c r="E1019" t="s">
        <v>7434</v>
      </c>
      <c r="H1019" t="s">
        <v>7440</v>
      </c>
      <c r="K1019" t="s">
        <v>7436</v>
      </c>
      <c r="M1019" t="str">
        <f>"02683946"</f>
        <v>02683946</v>
      </c>
      <c r="N1019" s="2" t="str">
        <f>"20100101"</f>
        <v>20100101</v>
      </c>
      <c r="O1019">
        <v>25</v>
      </c>
      <c r="P1019">
        <v>5</v>
      </c>
      <c r="Q1019">
        <v>460</v>
      </c>
      <c r="R1019">
        <v>19</v>
      </c>
      <c r="S1019" t="s">
        <v>7437</v>
      </c>
      <c r="T1019" t="s">
        <v>7438</v>
      </c>
      <c r="U1019" t="s">
        <v>78</v>
      </c>
      <c r="V1019" t="s">
        <v>7439</v>
      </c>
      <c r="X1019" t="s">
        <v>7441</v>
      </c>
      <c r="Y1019" t="b">
        <f t="shared" si="15"/>
        <v>1</v>
      </c>
    </row>
    <row r="1020" spans="1:25" hidden="1">
      <c r="A1020" s="11" t="s">
        <v>9939</v>
      </c>
      <c r="B1020" t="s">
        <v>16</v>
      </c>
      <c r="C1020" s="2" t="s">
        <v>8342</v>
      </c>
      <c r="D1020" t="s">
        <v>7443</v>
      </c>
      <c r="E1020" t="s">
        <v>7442</v>
      </c>
      <c r="F1020" s="20">
        <v>0</v>
      </c>
      <c r="G1020" t="s">
        <v>9178</v>
      </c>
      <c r="H1020" t="s">
        <v>7448</v>
      </c>
      <c r="K1020" t="s">
        <v>7444</v>
      </c>
      <c r="M1020" t="str">
        <f>"02129728"</f>
        <v>02129728</v>
      </c>
      <c r="N1020" s="2" t="str">
        <f>"20121001"</f>
        <v>20121001</v>
      </c>
      <c r="O1020">
        <v>28</v>
      </c>
      <c r="P1020">
        <v>3</v>
      </c>
      <c r="Q1020">
        <v>695</v>
      </c>
      <c r="R1020">
        <v>10</v>
      </c>
      <c r="S1020" t="s">
        <v>7445</v>
      </c>
      <c r="U1020" t="s">
        <v>7446</v>
      </c>
      <c r="V1020" t="s">
        <v>7447</v>
      </c>
      <c r="X1020" t="s">
        <v>7449</v>
      </c>
      <c r="Y1020" t="b">
        <f t="shared" si="15"/>
        <v>0</v>
      </c>
    </row>
    <row r="1021" spans="1:25" hidden="1">
      <c r="A1021" s="11" t="s">
        <v>9939</v>
      </c>
      <c r="B1021" t="s">
        <v>16</v>
      </c>
      <c r="C1021" s="2" t="s">
        <v>8335</v>
      </c>
      <c r="D1021" t="s">
        <v>7451</v>
      </c>
      <c r="E1021" t="s">
        <v>7450</v>
      </c>
      <c r="F1021" s="20">
        <v>0</v>
      </c>
      <c r="G1021" t="s">
        <v>9178</v>
      </c>
      <c r="H1021" t="s">
        <v>7455</v>
      </c>
      <c r="K1021" t="s">
        <v>2180</v>
      </c>
      <c r="M1021" t="str">
        <f>"09337954"</f>
        <v>09337954</v>
      </c>
      <c r="N1021" s="2" t="str">
        <f>"20041201"</f>
        <v>20041201</v>
      </c>
      <c r="O1021">
        <v>39</v>
      </c>
      <c r="P1021">
        <v>12</v>
      </c>
      <c r="Q1021">
        <v>967</v>
      </c>
      <c r="R1021">
        <v>8</v>
      </c>
      <c r="S1021" t="s">
        <v>7452</v>
      </c>
      <c r="T1021" t="s">
        <v>7453</v>
      </c>
      <c r="U1021" t="s">
        <v>42</v>
      </c>
      <c r="V1021" t="s">
        <v>7454</v>
      </c>
      <c r="X1021" t="s">
        <v>7456</v>
      </c>
      <c r="Y1021" t="b">
        <f t="shared" si="15"/>
        <v>0</v>
      </c>
    </row>
    <row r="1022" spans="1:25" hidden="1">
      <c r="A1022" s="11" t="s">
        <v>9939</v>
      </c>
      <c r="B1022" t="s">
        <v>16</v>
      </c>
      <c r="C1022" s="2" t="s">
        <v>8343</v>
      </c>
      <c r="D1022" t="s">
        <v>7458</v>
      </c>
      <c r="E1022" t="s">
        <v>7457</v>
      </c>
      <c r="H1022" t="s">
        <v>7463</v>
      </c>
      <c r="K1022" t="s">
        <v>7459</v>
      </c>
      <c r="M1022" t="str">
        <f>"13594184"</f>
        <v>13594184</v>
      </c>
      <c r="N1022" s="2" t="str">
        <f>"20170701"</f>
        <v>20170701</v>
      </c>
      <c r="O1022">
        <v>22</v>
      </c>
      <c r="P1022">
        <v>7</v>
      </c>
      <c r="Q1022">
        <v>1015</v>
      </c>
      <c r="R1022">
        <v>11</v>
      </c>
      <c r="S1022" t="s">
        <v>7460</v>
      </c>
      <c r="T1022" t="s">
        <v>7461</v>
      </c>
      <c r="U1022" t="s">
        <v>5064</v>
      </c>
      <c r="V1022" t="s">
        <v>7462</v>
      </c>
      <c r="X1022" t="s">
        <v>7464</v>
      </c>
      <c r="Y1022" t="b">
        <f t="shared" si="15"/>
        <v>1</v>
      </c>
    </row>
    <row r="1023" spans="1:25" hidden="1">
      <c r="A1023" s="11" t="s">
        <v>9939</v>
      </c>
      <c r="B1023" t="s">
        <v>69</v>
      </c>
      <c r="C1023" s="2" t="s">
        <v>8343</v>
      </c>
      <c r="D1023" t="s">
        <v>7466</v>
      </c>
      <c r="E1023" t="s">
        <v>7465</v>
      </c>
      <c r="H1023" t="s">
        <v>7469</v>
      </c>
      <c r="K1023" t="s">
        <v>65</v>
      </c>
      <c r="L1023" t="str">
        <f>"9781339689067"</f>
        <v>9781339689067</v>
      </c>
      <c r="M1023" t="str">
        <f>"04194209"</f>
        <v>04194209</v>
      </c>
      <c r="N1023" s="2" t="str">
        <f>"20170101"</f>
        <v>20170101</v>
      </c>
      <c r="O1023">
        <v>77</v>
      </c>
      <c r="P1023" t="s">
        <v>1449</v>
      </c>
      <c r="S1023" t="s">
        <v>7467</v>
      </c>
      <c r="U1023" t="s">
        <v>68</v>
      </c>
      <c r="V1023" t="s">
        <v>7468</v>
      </c>
      <c r="X1023" t="s">
        <v>7470</v>
      </c>
      <c r="Y1023" t="b">
        <f t="shared" si="15"/>
        <v>1</v>
      </c>
    </row>
    <row r="1024" spans="1:25" hidden="1">
      <c r="A1024" s="11" t="s">
        <v>9939</v>
      </c>
      <c r="B1024" t="s">
        <v>69</v>
      </c>
      <c r="C1024" s="2" t="s">
        <v>8334</v>
      </c>
      <c r="D1024" t="s">
        <v>7472</v>
      </c>
      <c r="E1024" t="s">
        <v>7471</v>
      </c>
      <c r="H1024" t="s">
        <v>7475</v>
      </c>
      <c r="K1024" t="s">
        <v>101</v>
      </c>
      <c r="L1024" t="str">
        <f>"9781267980519"</f>
        <v>9781267980519</v>
      </c>
      <c r="M1024" t="str">
        <f>"04194217"</f>
        <v>04194217</v>
      </c>
      <c r="N1024" s="2" t="str">
        <f>"20140101"</f>
        <v>20140101</v>
      </c>
      <c r="O1024">
        <v>74</v>
      </c>
      <c r="P1024" t="s">
        <v>284</v>
      </c>
      <c r="S1024" t="s">
        <v>7473</v>
      </c>
      <c r="U1024" t="s">
        <v>68</v>
      </c>
      <c r="V1024" t="s">
        <v>7474</v>
      </c>
      <c r="X1024" t="s">
        <v>7476</v>
      </c>
      <c r="Y1024" t="b">
        <f t="shared" si="15"/>
        <v>1</v>
      </c>
    </row>
    <row r="1025" spans="1:25">
      <c r="A1025" s="11" t="s">
        <v>9939</v>
      </c>
      <c r="B1025" t="s">
        <v>69</v>
      </c>
      <c r="C1025" s="2" t="s">
        <v>8334</v>
      </c>
      <c r="D1025" t="s">
        <v>7478</v>
      </c>
      <c r="E1025" t="s">
        <v>7477</v>
      </c>
      <c r="F1025" s="21">
        <v>1</v>
      </c>
      <c r="H1025" t="s">
        <v>7481</v>
      </c>
      <c r="I1025">
        <v>1</v>
      </c>
      <c r="K1025" t="s">
        <v>65</v>
      </c>
      <c r="L1025" t="str">
        <f>"9780494970867"</f>
        <v>9780494970867</v>
      </c>
      <c r="M1025" t="str">
        <f>"04194209"</f>
        <v>04194209</v>
      </c>
      <c r="N1025" s="2" t="str">
        <f>"20140101"</f>
        <v>20140101</v>
      </c>
      <c r="O1025">
        <v>74</v>
      </c>
      <c r="P1025" t="s">
        <v>2307</v>
      </c>
      <c r="S1025" t="s">
        <v>7479</v>
      </c>
      <c r="U1025" t="s">
        <v>68</v>
      </c>
      <c r="V1025" t="s">
        <v>7480</v>
      </c>
      <c r="X1025" t="s">
        <v>7482</v>
      </c>
      <c r="Y1025" t="b">
        <f t="shared" si="15"/>
        <v>0</v>
      </c>
    </row>
    <row r="1026" spans="1:25">
      <c r="A1026" s="11" t="s">
        <v>9939</v>
      </c>
      <c r="B1026" t="s">
        <v>16</v>
      </c>
      <c r="C1026" s="2" t="s">
        <v>8337</v>
      </c>
      <c r="D1026" t="s">
        <v>7484</v>
      </c>
      <c r="E1026" t="s">
        <v>7483</v>
      </c>
      <c r="F1026" s="21">
        <v>1</v>
      </c>
      <c r="H1026" t="s">
        <v>7488</v>
      </c>
      <c r="I1026">
        <v>1</v>
      </c>
      <c r="K1026" t="s">
        <v>84</v>
      </c>
      <c r="M1026" t="str">
        <f>"13607863"</f>
        <v>13607863</v>
      </c>
      <c r="N1026" s="2" t="str">
        <f>"20130301"</f>
        <v>20130301</v>
      </c>
      <c r="O1026">
        <v>17</v>
      </c>
      <c r="P1026">
        <v>2</v>
      </c>
      <c r="Q1026">
        <v>147</v>
      </c>
      <c r="R1026">
        <v>10</v>
      </c>
      <c r="S1026" t="s">
        <v>7485</v>
      </c>
      <c r="T1026" t="s">
        <v>7486</v>
      </c>
      <c r="U1026" t="s">
        <v>87</v>
      </c>
      <c r="V1026" t="s">
        <v>7487</v>
      </c>
      <c r="X1026" t="s">
        <v>7489</v>
      </c>
      <c r="Y1026" t="b">
        <f t="shared" ref="Y1026:Y1089" si="16">COUNTIF(X:X, X1026)&gt;1</f>
        <v>0</v>
      </c>
    </row>
    <row r="1027" spans="1:25" hidden="1">
      <c r="A1027" s="11" t="s">
        <v>9939</v>
      </c>
      <c r="B1027" t="s">
        <v>16</v>
      </c>
      <c r="C1027" s="2" t="s">
        <v>8361</v>
      </c>
      <c r="D1027" t="s">
        <v>7491</v>
      </c>
      <c r="E1027" t="s">
        <v>7490</v>
      </c>
      <c r="H1027" t="s">
        <v>7496</v>
      </c>
      <c r="K1027" t="s">
        <v>7492</v>
      </c>
      <c r="M1027" t="str">
        <f>"02784319"</f>
        <v>02784319</v>
      </c>
      <c r="N1027" s="2" t="str">
        <f>"19980301"</f>
        <v>19980301</v>
      </c>
      <c r="O1027">
        <v>17</v>
      </c>
      <c r="P1027">
        <v>1</v>
      </c>
      <c r="Q1027">
        <v>11</v>
      </c>
      <c r="R1027">
        <v>11</v>
      </c>
      <c r="S1027" t="s">
        <v>7493</v>
      </c>
      <c r="T1027" t="s">
        <v>7494</v>
      </c>
      <c r="U1027" t="s">
        <v>34</v>
      </c>
      <c r="V1027" t="s">
        <v>7495</v>
      </c>
      <c r="X1027" t="s">
        <v>7497</v>
      </c>
      <c r="Y1027" t="b">
        <f t="shared" si="16"/>
        <v>1</v>
      </c>
    </row>
    <row r="1028" spans="1:25" hidden="1">
      <c r="A1028" s="11" t="s">
        <v>9939</v>
      </c>
      <c r="B1028" t="s">
        <v>69</v>
      </c>
      <c r="C1028" s="2" t="s">
        <v>8347</v>
      </c>
      <c r="D1028" t="s">
        <v>7499</v>
      </c>
      <c r="E1028" t="s">
        <v>7498</v>
      </c>
      <c r="H1028" t="s">
        <v>7502</v>
      </c>
      <c r="K1028" t="s">
        <v>101</v>
      </c>
      <c r="M1028" t="str">
        <f>"04194217"</f>
        <v>04194217</v>
      </c>
      <c r="N1028" s="2" t="str">
        <f>"20080101"</f>
        <v>20080101</v>
      </c>
      <c r="O1028">
        <v>69</v>
      </c>
      <c r="P1028" t="s">
        <v>2962</v>
      </c>
      <c r="Q1028">
        <v>3254</v>
      </c>
      <c r="R1028">
        <v>1</v>
      </c>
      <c r="S1028" t="s">
        <v>7500</v>
      </c>
      <c r="U1028" t="s">
        <v>68</v>
      </c>
      <c r="V1028" t="s">
        <v>7501</v>
      </c>
      <c r="X1028" t="s">
        <v>7503</v>
      </c>
      <c r="Y1028" t="b">
        <f t="shared" si="16"/>
        <v>1</v>
      </c>
    </row>
    <row r="1029" spans="1:25">
      <c r="A1029" s="11" t="s">
        <v>9939</v>
      </c>
      <c r="B1029" t="s">
        <v>69</v>
      </c>
      <c r="C1029" s="2" t="s">
        <v>8346</v>
      </c>
      <c r="D1029" t="s">
        <v>7505</v>
      </c>
      <c r="E1029" t="s">
        <v>7504</v>
      </c>
      <c r="F1029" s="21">
        <v>1</v>
      </c>
      <c r="H1029" t="s">
        <v>7509</v>
      </c>
      <c r="I1029">
        <v>1</v>
      </c>
      <c r="K1029" t="s">
        <v>101</v>
      </c>
      <c r="L1029" t="str">
        <f>"9781124195902"</f>
        <v>9781124195902</v>
      </c>
      <c r="M1029" t="str">
        <f>"04194217"</f>
        <v>04194217</v>
      </c>
      <c r="N1029" s="2" t="str">
        <f>"20110101"</f>
        <v>20110101</v>
      </c>
      <c r="O1029">
        <v>71</v>
      </c>
      <c r="P1029" t="s">
        <v>7506</v>
      </c>
      <c r="Q1029">
        <v>5806</v>
      </c>
      <c r="R1029">
        <v>1</v>
      </c>
      <c r="S1029" t="s">
        <v>7507</v>
      </c>
      <c r="U1029" t="s">
        <v>68</v>
      </c>
      <c r="V1029" t="s">
        <v>7508</v>
      </c>
      <c r="X1029" t="s">
        <v>7510</v>
      </c>
      <c r="Y1029" t="b">
        <f t="shared" si="16"/>
        <v>0</v>
      </c>
    </row>
    <row r="1030" spans="1:25">
      <c r="A1030" s="11" t="s">
        <v>9939</v>
      </c>
      <c r="B1030" t="s">
        <v>16</v>
      </c>
      <c r="C1030" s="2" t="s">
        <v>8346</v>
      </c>
      <c r="D1030" t="s">
        <v>7512</v>
      </c>
      <c r="E1030" t="s">
        <v>7511</v>
      </c>
      <c r="F1030" s="21">
        <v>1</v>
      </c>
      <c r="H1030" t="s">
        <v>7516</v>
      </c>
      <c r="I1030">
        <v>1</v>
      </c>
      <c r="K1030" t="s">
        <v>1073</v>
      </c>
      <c r="M1030" t="str">
        <f>"13634615"</f>
        <v>13634615</v>
      </c>
      <c r="N1030" s="2" t="str">
        <f>"20110901"</f>
        <v>20110901</v>
      </c>
      <c r="O1030">
        <v>48</v>
      </c>
      <c r="P1030">
        <v>4</v>
      </c>
      <c r="Q1030">
        <v>437</v>
      </c>
      <c r="R1030">
        <v>18</v>
      </c>
      <c r="S1030" t="s">
        <v>7513</v>
      </c>
      <c r="T1030" t="s">
        <v>7514</v>
      </c>
      <c r="U1030" t="s">
        <v>15</v>
      </c>
      <c r="V1030" t="s">
        <v>7515</v>
      </c>
      <c r="X1030" t="s">
        <v>7517</v>
      </c>
      <c r="Y1030" t="b">
        <f t="shared" si="16"/>
        <v>0</v>
      </c>
    </row>
    <row r="1031" spans="1:25">
      <c r="A1031" s="11" t="s">
        <v>9939</v>
      </c>
      <c r="B1031" t="s">
        <v>16</v>
      </c>
      <c r="C1031" s="2" t="s">
        <v>8334</v>
      </c>
      <c r="D1031" t="s">
        <v>7519</v>
      </c>
      <c r="E1031" t="s">
        <v>7518</v>
      </c>
      <c r="F1031" s="21">
        <v>1</v>
      </c>
      <c r="H1031" t="s">
        <v>7522</v>
      </c>
      <c r="I1031">
        <v>1</v>
      </c>
      <c r="K1031" t="s">
        <v>560</v>
      </c>
      <c r="M1031" t="str">
        <f>"1471244X"</f>
        <v>1471244X</v>
      </c>
      <c r="N1031" s="2" t="str">
        <f>"20140905"</f>
        <v>20140905</v>
      </c>
      <c r="O1031">
        <v>14</v>
      </c>
      <c r="S1031" t="s">
        <v>7520</v>
      </c>
      <c r="U1031" t="s">
        <v>563</v>
      </c>
      <c r="V1031" t="s">
        <v>7521</v>
      </c>
      <c r="X1031" t="s">
        <v>7523</v>
      </c>
      <c r="Y1031" t="b">
        <f t="shared" si="16"/>
        <v>0</v>
      </c>
    </row>
    <row r="1032" spans="1:25">
      <c r="A1032" s="11" t="s">
        <v>9939</v>
      </c>
      <c r="B1032" t="s">
        <v>16</v>
      </c>
      <c r="C1032" s="2" t="s">
        <v>8342</v>
      </c>
      <c r="D1032" t="s">
        <v>7525</v>
      </c>
      <c r="E1032" t="s">
        <v>7524</v>
      </c>
      <c r="F1032" s="21">
        <v>1</v>
      </c>
      <c r="H1032" t="s">
        <v>7529</v>
      </c>
      <c r="I1032">
        <v>1</v>
      </c>
      <c r="K1032" t="s">
        <v>132</v>
      </c>
      <c r="M1032" t="str">
        <f>"01471767"</f>
        <v>01471767</v>
      </c>
      <c r="N1032" s="2" t="str">
        <f>"20120901"</f>
        <v>20120901</v>
      </c>
      <c r="O1032">
        <v>36</v>
      </c>
      <c r="P1032">
        <v>5</v>
      </c>
      <c r="Q1032">
        <v>669</v>
      </c>
      <c r="R1032">
        <v>13</v>
      </c>
      <c r="S1032" t="s">
        <v>7526</v>
      </c>
      <c r="T1032" t="s">
        <v>7527</v>
      </c>
      <c r="U1032" t="s">
        <v>34</v>
      </c>
      <c r="V1032" t="s">
        <v>7528</v>
      </c>
      <c r="X1032" t="s">
        <v>7530</v>
      </c>
      <c r="Y1032" t="b">
        <f t="shared" si="16"/>
        <v>0</v>
      </c>
    </row>
    <row r="1033" spans="1:25">
      <c r="A1033" s="11" t="s">
        <v>9939</v>
      </c>
      <c r="B1033" t="s">
        <v>69</v>
      </c>
      <c r="C1033" s="2" t="s">
        <v>8353</v>
      </c>
      <c r="D1033" t="s">
        <v>7532</v>
      </c>
      <c r="E1033" t="s">
        <v>7531</v>
      </c>
      <c r="F1033" s="21">
        <v>1</v>
      </c>
      <c r="H1033" t="s">
        <v>7535</v>
      </c>
      <c r="I1033">
        <v>1</v>
      </c>
      <c r="K1033" t="s">
        <v>101</v>
      </c>
      <c r="L1033" t="str">
        <f>"9781339264639"</f>
        <v>9781339264639</v>
      </c>
      <c r="M1033" t="str">
        <f>"04194217"</f>
        <v>04194217</v>
      </c>
      <c r="N1033" s="2" t="str">
        <f>"20160101"</f>
        <v>20160101</v>
      </c>
      <c r="O1033">
        <v>77</v>
      </c>
      <c r="P1033" t="s">
        <v>2556</v>
      </c>
      <c r="S1033" t="s">
        <v>7533</v>
      </c>
      <c r="U1033" t="s">
        <v>68</v>
      </c>
      <c r="V1033" t="s">
        <v>7534</v>
      </c>
      <c r="X1033" t="s">
        <v>7536</v>
      </c>
      <c r="Y1033" t="b">
        <f t="shared" si="16"/>
        <v>0</v>
      </c>
    </row>
    <row r="1034" spans="1:25">
      <c r="A1034" s="11" t="s">
        <v>9939</v>
      </c>
      <c r="B1034" t="s">
        <v>16</v>
      </c>
      <c r="C1034" s="2" t="s">
        <v>8343</v>
      </c>
      <c r="D1034" t="s">
        <v>7538</v>
      </c>
      <c r="E1034" t="s">
        <v>7537</v>
      </c>
      <c r="F1034" s="21">
        <v>1</v>
      </c>
      <c r="H1034" t="s">
        <v>7542</v>
      </c>
      <c r="I1034">
        <v>1</v>
      </c>
      <c r="K1034" t="s">
        <v>40</v>
      </c>
      <c r="M1034" t="str">
        <f>"15571912"</f>
        <v>15571912</v>
      </c>
      <c r="N1034" s="2" t="str">
        <f>"20170401"</f>
        <v>20170401</v>
      </c>
      <c r="O1034">
        <v>19</v>
      </c>
      <c r="P1034">
        <v>2</v>
      </c>
      <c r="Q1034">
        <v>294</v>
      </c>
      <c r="R1034">
        <v>8</v>
      </c>
      <c r="S1034" t="s">
        <v>7539</v>
      </c>
      <c r="T1034" t="s">
        <v>7540</v>
      </c>
      <c r="U1034" t="s">
        <v>42</v>
      </c>
      <c r="V1034" t="s">
        <v>7541</v>
      </c>
      <c r="X1034" t="s">
        <v>7543</v>
      </c>
      <c r="Y1034" t="b">
        <f t="shared" si="16"/>
        <v>0</v>
      </c>
    </row>
    <row r="1035" spans="1:25">
      <c r="A1035" s="11" t="s">
        <v>9939</v>
      </c>
      <c r="B1035" t="s">
        <v>69</v>
      </c>
      <c r="C1035" s="2" t="s">
        <v>8339</v>
      </c>
      <c r="D1035" t="s">
        <v>7545</v>
      </c>
      <c r="E1035" t="s">
        <v>7544</v>
      </c>
      <c r="F1035" s="21">
        <v>1</v>
      </c>
      <c r="H1035" t="s">
        <v>7549</v>
      </c>
      <c r="I1035">
        <v>1</v>
      </c>
      <c r="K1035" t="s">
        <v>101</v>
      </c>
      <c r="M1035" t="str">
        <f>"04194217"</f>
        <v>04194217</v>
      </c>
      <c r="N1035" s="2" t="str">
        <f>"20150101"</f>
        <v>20150101</v>
      </c>
      <c r="O1035">
        <v>75</v>
      </c>
      <c r="P1035" t="s">
        <v>7546</v>
      </c>
      <c r="S1035" t="s">
        <v>7547</v>
      </c>
      <c r="U1035" t="s">
        <v>68</v>
      </c>
      <c r="V1035" t="s">
        <v>7548</v>
      </c>
      <c r="X1035" t="s">
        <v>7550</v>
      </c>
      <c r="Y1035" t="b">
        <f t="shared" si="16"/>
        <v>0</v>
      </c>
    </row>
    <row r="1036" spans="1:25" hidden="1">
      <c r="A1036" s="11" t="s">
        <v>9939</v>
      </c>
      <c r="B1036" t="s">
        <v>69</v>
      </c>
      <c r="C1036" s="2" t="s">
        <v>8344</v>
      </c>
      <c r="D1036" t="s">
        <v>7552</v>
      </c>
      <c r="E1036" t="s">
        <v>7551</v>
      </c>
      <c r="H1036" t="s">
        <v>7555</v>
      </c>
      <c r="K1036" t="s">
        <v>101</v>
      </c>
      <c r="L1036" t="str">
        <f>"9781109744361"</f>
        <v>9781109744361</v>
      </c>
      <c r="M1036" t="str">
        <f>"04194217"</f>
        <v>04194217</v>
      </c>
      <c r="N1036" s="2" t="str">
        <f>"20100101"</f>
        <v>20100101</v>
      </c>
      <c r="O1036">
        <v>71</v>
      </c>
      <c r="P1036" t="s">
        <v>2962</v>
      </c>
      <c r="Q1036">
        <v>3356</v>
      </c>
      <c r="R1036">
        <v>1</v>
      </c>
      <c r="S1036" t="s">
        <v>7553</v>
      </c>
      <c r="U1036" t="s">
        <v>68</v>
      </c>
      <c r="V1036" t="s">
        <v>7554</v>
      </c>
      <c r="X1036" t="s">
        <v>7556</v>
      </c>
      <c r="Y1036" t="b">
        <f t="shared" si="16"/>
        <v>1</v>
      </c>
    </row>
    <row r="1037" spans="1:25">
      <c r="A1037" s="11" t="s">
        <v>9939</v>
      </c>
      <c r="B1037" t="s">
        <v>16</v>
      </c>
      <c r="C1037" s="2" t="s">
        <v>8349</v>
      </c>
      <c r="D1037" t="s">
        <v>7558</v>
      </c>
      <c r="E1037" t="s">
        <v>7557</v>
      </c>
      <c r="F1037" s="21">
        <v>1</v>
      </c>
      <c r="H1037" t="s">
        <v>7563</v>
      </c>
      <c r="I1037">
        <v>1</v>
      </c>
      <c r="K1037" t="s">
        <v>7559</v>
      </c>
      <c r="M1037" t="str">
        <f>"0165005X"</f>
        <v>0165005X</v>
      </c>
      <c r="N1037" s="2" t="str">
        <f>"20190315"</f>
        <v>20190315</v>
      </c>
      <c r="O1037">
        <v>43</v>
      </c>
      <c r="P1037">
        <v>1</v>
      </c>
      <c r="Q1037">
        <v>77</v>
      </c>
      <c r="R1037">
        <v>16</v>
      </c>
      <c r="S1037" t="s">
        <v>7560</v>
      </c>
      <c r="T1037" t="s">
        <v>7561</v>
      </c>
      <c r="U1037" t="s">
        <v>42</v>
      </c>
      <c r="V1037" t="s">
        <v>7562</v>
      </c>
      <c r="X1037" t="s">
        <v>7564</v>
      </c>
      <c r="Y1037" t="b">
        <f t="shared" si="16"/>
        <v>0</v>
      </c>
    </row>
    <row r="1038" spans="1:25" hidden="1">
      <c r="A1038" s="11" t="s">
        <v>9939</v>
      </c>
      <c r="B1038" t="s">
        <v>69</v>
      </c>
      <c r="C1038" s="2" t="s">
        <v>8344</v>
      </c>
      <c r="D1038" t="s">
        <v>7566</v>
      </c>
      <c r="E1038" t="s">
        <v>7565</v>
      </c>
      <c r="H1038" t="s">
        <v>7569</v>
      </c>
      <c r="K1038" t="s">
        <v>101</v>
      </c>
      <c r="L1038" t="str">
        <f>"9781109305081"</f>
        <v>9781109305081</v>
      </c>
      <c r="M1038" t="str">
        <f>"04194217"</f>
        <v>04194217</v>
      </c>
      <c r="N1038" s="2" t="str">
        <f>"20100101"</f>
        <v>20100101</v>
      </c>
      <c r="O1038">
        <v>70</v>
      </c>
      <c r="P1038" t="s">
        <v>2857</v>
      </c>
      <c r="Q1038">
        <v>5183</v>
      </c>
      <c r="R1038">
        <v>1</v>
      </c>
      <c r="S1038" t="s">
        <v>7567</v>
      </c>
      <c r="U1038" t="s">
        <v>68</v>
      </c>
      <c r="V1038" t="s">
        <v>7568</v>
      </c>
      <c r="X1038" t="s">
        <v>7570</v>
      </c>
      <c r="Y1038" t="b">
        <f t="shared" si="16"/>
        <v>1</v>
      </c>
    </row>
    <row r="1039" spans="1:25" hidden="1">
      <c r="A1039" s="11" t="s">
        <v>9939</v>
      </c>
      <c r="B1039" t="s">
        <v>16</v>
      </c>
      <c r="C1039" s="2" t="s">
        <v>8340</v>
      </c>
      <c r="D1039" t="s">
        <v>5555</v>
      </c>
      <c r="E1039" t="s">
        <v>7571</v>
      </c>
      <c r="F1039" s="20">
        <v>0</v>
      </c>
      <c r="G1039" t="s">
        <v>9178</v>
      </c>
      <c r="H1039" t="s">
        <v>7575</v>
      </c>
      <c r="K1039" t="s">
        <v>1272</v>
      </c>
      <c r="M1039" t="str">
        <f>"13674676"</f>
        <v>13674676</v>
      </c>
      <c r="N1039" s="2" t="str">
        <f>"20180301"</f>
        <v>20180301</v>
      </c>
      <c r="O1039">
        <v>21</v>
      </c>
      <c r="P1039">
        <v>3</v>
      </c>
      <c r="Q1039">
        <v>246</v>
      </c>
      <c r="R1039">
        <v>16</v>
      </c>
      <c r="S1039" t="s">
        <v>7572</v>
      </c>
      <c r="T1039" t="s">
        <v>7573</v>
      </c>
      <c r="U1039" t="s">
        <v>87</v>
      </c>
      <c r="V1039" t="s">
        <v>7574</v>
      </c>
      <c r="X1039" t="s">
        <v>7576</v>
      </c>
      <c r="Y1039" t="b">
        <f t="shared" si="16"/>
        <v>0</v>
      </c>
    </row>
    <row r="1040" spans="1:25" hidden="1">
      <c r="A1040" s="11" t="s">
        <v>9939</v>
      </c>
      <c r="B1040" t="s">
        <v>16</v>
      </c>
      <c r="C1040" s="2" t="s">
        <v>8338</v>
      </c>
      <c r="D1040" t="s">
        <v>7578</v>
      </c>
      <c r="E1040" t="s">
        <v>7577</v>
      </c>
      <c r="H1040" t="s">
        <v>7583</v>
      </c>
      <c r="K1040" t="s">
        <v>7579</v>
      </c>
      <c r="M1040" t="str">
        <f>"00219762"</f>
        <v>00219762</v>
      </c>
      <c r="N1040" s="2" t="str">
        <f>"20060301"</f>
        <v>20060301</v>
      </c>
      <c r="O1040">
        <v>62</v>
      </c>
      <c r="P1040">
        <v>3</v>
      </c>
      <c r="Q1040">
        <v>339</v>
      </c>
      <c r="R1040">
        <v>15</v>
      </c>
      <c r="S1040" t="s">
        <v>7580</v>
      </c>
      <c r="T1040" t="s">
        <v>7581</v>
      </c>
      <c r="U1040" t="s">
        <v>224</v>
      </c>
      <c r="V1040" t="s">
        <v>7582</v>
      </c>
      <c r="X1040" t="s">
        <v>7584</v>
      </c>
      <c r="Y1040" t="b">
        <f t="shared" si="16"/>
        <v>1</v>
      </c>
    </row>
    <row r="1041" spans="1:25" hidden="1">
      <c r="A1041" s="11" t="s">
        <v>9939</v>
      </c>
      <c r="B1041" t="s">
        <v>16</v>
      </c>
      <c r="C1041" s="2" t="s">
        <v>8346</v>
      </c>
      <c r="D1041" t="s">
        <v>7586</v>
      </c>
      <c r="E1041" t="s">
        <v>7585</v>
      </c>
      <c r="F1041" s="20">
        <v>0</v>
      </c>
      <c r="G1041" t="s">
        <v>9178</v>
      </c>
      <c r="H1041" t="s">
        <v>7590</v>
      </c>
      <c r="K1041" t="s">
        <v>3956</v>
      </c>
      <c r="M1041" t="str">
        <f>"00218294"</f>
        <v>00218294</v>
      </c>
      <c r="N1041" s="2" t="str">
        <f>"20110601"</f>
        <v>20110601</v>
      </c>
      <c r="O1041">
        <v>50</v>
      </c>
      <c r="P1041">
        <v>2</v>
      </c>
      <c r="Q1041">
        <v>272</v>
      </c>
      <c r="R1041">
        <v>17</v>
      </c>
      <c r="S1041" t="s">
        <v>7587</v>
      </c>
      <c r="T1041" t="s">
        <v>7588</v>
      </c>
      <c r="U1041" t="s">
        <v>730</v>
      </c>
      <c r="V1041" t="s">
        <v>7589</v>
      </c>
      <c r="X1041" t="s">
        <v>7591</v>
      </c>
      <c r="Y1041" t="b">
        <f t="shared" si="16"/>
        <v>0</v>
      </c>
    </row>
    <row r="1042" spans="1:25" hidden="1">
      <c r="A1042" s="11" t="s">
        <v>9939</v>
      </c>
      <c r="B1042" t="s">
        <v>16</v>
      </c>
      <c r="C1042" s="2" t="s">
        <v>8337</v>
      </c>
      <c r="D1042" t="s">
        <v>7593</v>
      </c>
      <c r="E1042" t="s">
        <v>7592</v>
      </c>
      <c r="F1042" s="20">
        <v>0</v>
      </c>
      <c r="G1042" t="s">
        <v>9237</v>
      </c>
      <c r="H1042" t="s">
        <v>7597</v>
      </c>
      <c r="K1042" t="s">
        <v>1774</v>
      </c>
      <c r="M1042" t="str">
        <f>"0049089X"</f>
        <v>0049089X</v>
      </c>
      <c r="N1042" s="2" t="str">
        <f>"20130701"</f>
        <v>20130701</v>
      </c>
      <c r="O1042">
        <v>42</v>
      </c>
      <c r="P1042">
        <v>4</v>
      </c>
      <c r="Q1042">
        <v>1046</v>
      </c>
      <c r="R1042">
        <v>15</v>
      </c>
      <c r="S1042" t="s">
        <v>7594</v>
      </c>
      <c r="T1042" t="s">
        <v>7595</v>
      </c>
      <c r="U1042" t="s">
        <v>34</v>
      </c>
      <c r="V1042" t="s">
        <v>7596</v>
      </c>
      <c r="X1042" t="s">
        <v>7598</v>
      </c>
      <c r="Y1042" t="b">
        <f t="shared" si="16"/>
        <v>0</v>
      </c>
    </row>
    <row r="1043" spans="1:25" hidden="1">
      <c r="A1043" s="11" t="s">
        <v>9939</v>
      </c>
      <c r="B1043" t="s">
        <v>16</v>
      </c>
      <c r="C1043" s="2" t="s">
        <v>8340</v>
      </c>
      <c r="D1043" t="s">
        <v>7600</v>
      </c>
      <c r="E1043" t="s">
        <v>7599</v>
      </c>
      <c r="F1043" s="20">
        <v>0</v>
      </c>
      <c r="G1043" t="s">
        <v>9237</v>
      </c>
      <c r="H1043" t="s">
        <v>7605</v>
      </c>
      <c r="K1043" t="s">
        <v>7601</v>
      </c>
      <c r="M1043" t="str">
        <f>"09660410"</f>
        <v>09660410</v>
      </c>
      <c r="N1043" s="2" t="str">
        <f>"20180101"</f>
        <v>20180101</v>
      </c>
      <c r="O1043">
        <v>26</v>
      </c>
      <c r="P1043">
        <v>1</v>
      </c>
      <c r="Q1043">
        <v>72</v>
      </c>
      <c r="R1043">
        <v>8</v>
      </c>
      <c r="S1043" t="s">
        <v>7602</v>
      </c>
      <c r="T1043" t="s">
        <v>7603</v>
      </c>
      <c r="U1043" t="s">
        <v>730</v>
      </c>
      <c r="V1043" t="s">
        <v>7604</v>
      </c>
      <c r="X1043" t="s">
        <v>7606</v>
      </c>
      <c r="Y1043" t="b">
        <f t="shared" si="16"/>
        <v>0</v>
      </c>
    </row>
    <row r="1044" spans="1:25">
      <c r="A1044" s="11" t="s">
        <v>9939</v>
      </c>
      <c r="B1044" t="s">
        <v>16</v>
      </c>
      <c r="C1044" s="2" t="s">
        <v>8349</v>
      </c>
      <c r="D1044" t="s">
        <v>7608</v>
      </c>
      <c r="E1044" t="s">
        <v>7607</v>
      </c>
      <c r="F1044" s="21">
        <v>1</v>
      </c>
      <c r="H1044" t="s">
        <v>7614</v>
      </c>
      <c r="I1044">
        <v>1</v>
      </c>
      <c r="K1044" t="s">
        <v>7609</v>
      </c>
      <c r="M1044" t="str">
        <f>"11052333"</f>
        <v>11052333</v>
      </c>
      <c r="N1044" s="2" t="str">
        <f>"20191001"</f>
        <v>20191001</v>
      </c>
      <c r="O1044">
        <v>30</v>
      </c>
      <c r="P1044">
        <v>4</v>
      </c>
      <c r="Q1044">
        <v>311</v>
      </c>
      <c r="R1044">
        <v>9</v>
      </c>
      <c r="S1044" t="s">
        <v>7610</v>
      </c>
      <c r="T1044" t="s">
        <v>7611</v>
      </c>
      <c r="U1044" t="s">
        <v>7612</v>
      </c>
      <c r="V1044" t="s">
        <v>7613</v>
      </c>
      <c r="X1044" t="s">
        <v>7615</v>
      </c>
      <c r="Y1044" t="b">
        <f t="shared" si="16"/>
        <v>0</v>
      </c>
    </row>
    <row r="1045" spans="1:25" hidden="1">
      <c r="A1045" s="11" t="s">
        <v>9939</v>
      </c>
      <c r="B1045" t="s">
        <v>16</v>
      </c>
      <c r="C1045" s="2" t="s">
        <v>8346</v>
      </c>
      <c r="D1045" t="s">
        <v>7617</v>
      </c>
      <c r="E1045" t="s">
        <v>7616</v>
      </c>
      <c r="H1045" t="s">
        <v>7621</v>
      </c>
      <c r="K1045" t="s">
        <v>1160</v>
      </c>
      <c r="M1045" t="str">
        <f>"01693816"</f>
        <v>01693816</v>
      </c>
      <c r="N1045" s="2" t="str">
        <f>"20111201"</f>
        <v>20111201</v>
      </c>
      <c r="O1045">
        <v>26</v>
      </c>
      <c r="P1045">
        <v>4</v>
      </c>
      <c r="Q1045">
        <v>397</v>
      </c>
      <c r="R1045">
        <v>9</v>
      </c>
      <c r="S1045" t="s">
        <v>7618</v>
      </c>
      <c r="T1045" t="s">
        <v>7619</v>
      </c>
      <c r="U1045" t="s">
        <v>42</v>
      </c>
      <c r="V1045" t="s">
        <v>7620</v>
      </c>
      <c r="X1045" t="s">
        <v>7622</v>
      </c>
      <c r="Y1045" t="b">
        <f t="shared" si="16"/>
        <v>1</v>
      </c>
    </row>
    <row r="1046" spans="1:25">
      <c r="A1046" s="11" t="s">
        <v>9939</v>
      </c>
      <c r="B1046" t="s">
        <v>16</v>
      </c>
      <c r="C1046" s="2" t="s">
        <v>8334</v>
      </c>
      <c r="D1046" t="s">
        <v>7624</v>
      </c>
      <c r="E1046" t="s">
        <v>7623</v>
      </c>
      <c r="F1046" s="21">
        <v>1</v>
      </c>
      <c r="H1046" t="s">
        <v>7628</v>
      </c>
      <c r="I1046">
        <v>1</v>
      </c>
      <c r="K1046" t="s">
        <v>7625</v>
      </c>
      <c r="M1046" t="str">
        <f>"00340553"</f>
        <v>00340553</v>
      </c>
      <c r="N1046" s="2" t="str">
        <f>"20140401"</f>
        <v>20140401</v>
      </c>
      <c r="O1046">
        <v>49</v>
      </c>
      <c r="P1046">
        <v>2</v>
      </c>
      <c r="Q1046">
        <v>251</v>
      </c>
      <c r="R1046">
        <v>11</v>
      </c>
      <c r="S1046" t="s">
        <v>7626</v>
      </c>
      <c r="U1046" t="s">
        <v>730</v>
      </c>
      <c r="V1046" t="s">
        <v>7627</v>
      </c>
      <c r="X1046" t="s">
        <v>7629</v>
      </c>
      <c r="Y1046" t="b">
        <f t="shared" si="16"/>
        <v>0</v>
      </c>
    </row>
    <row r="1047" spans="1:25">
      <c r="A1047" s="11" t="s">
        <v>9939</v>
      </c>
      <c r="B1047" t="s">
        <v>69</v>
      </c>
      <c r="C1047" s="2" t="s">
        <v>8337</v>
      </c>
      <c r="D1047" t="s">
        <v>7631</v>
      </c>
      <c r="E1047" t="s">
        <v>7630</v>
      </c>
      <c r="F1047" s="21">
        <v>1</v>
      </c>
      <c r="H1047" t="s">
        <v>7634</v>
      </c>
      <c r="I1047">
        <v>1</v>
      </c>
      <c r="K1047" t="s">
        <v>65</v>
      </c>
      <c r="L1047" t="str">
        <f>"9781267859372"</f>
        <v>9781267859372</v>
      </c>
      <c r="M1047" t="str">
        <f>"04194209"</f>
        <v>04194209</v>
      </c>
      <c r="N1047" s="2" t="str">
        <f>"20130101"</f>
        <v>20130101</v>
      </c>
      <c r="O1047">
        <v>74</v>
      </c>
      <c r="P1047" t="s">
        <v>744</v>
      </c>
      <c r="S1047" t="s">
        <v>7632</v>
      </c>
      <c r="U1047" t="s">
        <v>68</v>
      </c>
      <c r="V1047" t="s">
        <v>7633</v>
      </c>
      <c r="X1047" t="s">
        <v>7635</v>
      </c>
      <c r="Y1047" t="b">
        <f t="shared" si="16"/>
        <v>0</v>
      </c>
    </row>
    <row r="1048" spans="1:25" hidden="1">
      <c r="A1048" s="11" t="s">
        <v>9939</v>
      </c>
      <c r="B1048" t="s">
        <v>16</v>
      </c>
      <c r="C1048" s="2" t="s">
        <v>8337</v>
      </c>
      <c r="D1048" t="s">
        <v>7637</v>
      </c>
      <c r="E1048" t="s">
        <v>7636</v>
      </c>
      <c r="H1048" t="s">
        <v>7642</v>
      </c>
      <c r="K1048" t="s">
        <v>7638</v>
      </c>
      <c r="M1048" t="str">
        <f>"14459795"</f>
        <v>14459795</v>
      </c>
      <c r="N1048" s="2" t="str">
        <f>"20130801"</f>
        <v>20130801</v>
      </c>
      <c r="O1048">
        <v>13</v>
      </c>
      <c r="P1048">
        <v>2</v>
      </c>
      <c r="Q1048">
        <v>240</v>
      </c>
      <c r="R1048">
        <v>15</v>
      </c>
      <c r="S1048" t="s">
        <v>7639</v>
      </c>
      <c r="T1048" t="s">
        <v>7640</v>
      </c>
      <c r="U1048" t="s">
        <v>87</v>
      </c>
      <c r="V1048" t="s">
        <v>7641</v>
      </c>
      <c r="X1048" t="s">
        <v>7643</v>
      </c>
      <c r="Y1048" t="b">
        <f t="shared" si="16"/>
        <v>1</v>
      </c>
    </row>
    <row r="1049" spans="1:25">
      <c r="A1049" s="11" t="s">
        <v>9939</v>
      </c>
      <c r="B1049" t="s">
        <v>16</v>
      </c>
      <c r="C1049" s="2" t="s">
        <v>8334</v>
      </c>
      <c r="D1049" t="s">
        <v>7645</v>
      </c>
      <c r="E1049" t="s">
        <v>7644</v>
      </c>
      <c r="F1049" s="21">
        <v>1</v>
      </c>
      <c r="H1049" t="s">
        <v>7649</v>
      </c>
      <c r="I1049">
        <v>1</v>
      </c>
      <c r="K1049" t="s">
        <v>2483</v>
      </c>
      <c r="M1049" t="str">
        <f>"17542863"</f>
        <v>17542863</v>
      </c>
      <c r="N1049" s="2" t="str">
        <f>"20140701"</f>
        <v>20140701</v>
      </c>
      <c r="O1049">
        <v>7</v>
      </c>
      <c r="P1049">
        <v>3</v>
      </c>
      <c r="Q1049">
        <v>315</v>
      </c>
      <c r="R1049">
        <v>11</v>
      </c>
      <c r="S1049" t="s">
        <v>7646</v>
      </c>
      <c r="T1049" t="s">
        <v>7647</v>
      </c>
      <c r="U1049" t="s">
        <v>87</v>
      </c>
      <c r="V1049" t="s">
        <v>7648</v>
      </c>
      <c r="X1049" t="s">
        <v>7650</v>
      </c>
      <c r="Y1049" t="b">
        <f t="shared" si="16"/>
        <v>0</v>
      </c>
    </row>
    <row r="1050" spans="1:25" hidden="1">
      <c r="A1050" s="11" t="s">
        <v>9939</v>
      </c>
      <c r="B1050" t="s">
        <v>16</v>
      </c>
      <c r="C1050" s="2" t="s">
        <v>8334</v>
      </c>
      <c r="D1050" t="s">
        <v>7652</v>
      </c>
      <c r="E1050" t="s">
        <v>7651</v>
      </c>
      <c r="F1050" s="20">
        <v>0</v>
      </c>
      <c r="G1050" t="s">
        <v>9178</v>
      </c>
      <c r="H1050" t="s">
        <v>7656</v>
      </c>
      <c r="K1050" t="s">
        <v>970</v>
      </c>
      <c r="M1050" t="str">
        <f>"10999809"</f>
        <v>10999809</v>
      </c>
      <c r="N1050" s="2" t="str">
        <f>"20140401"</f>
        <v>20140401</v>
      </c>
      <c r="O1050">
        <v>20</v>
      </c>
      <c r="P1050">
        <v>2</v>
      </c>
      <c r="Q1050">
        <v>220</v>
      </c>
      <c r="R1050">
        <v>11</v>
      </c>
      <c r="S1050" t="s">
        <v>7653</v>
      </c>
      <c r="T1050" t="s">
        <v>7654</v>
      </c>
      <c r="U1050" t="s">
        <v>183</v>
      </c>
      <c r="V1050" t="s">
        <v>7655</v>
      </c>
      <c r="X1050" t="s">
        <v>7657</v>
      </c>
      <c r="Y1050" t="b">
        <f t="shared" si="16"/>
        <v>0</v>
      </c>
    </row>
    <row r="1051" spans="1:25">
      <c r="A1051" s="11" t="s">
        <v>9939</v>
      </c>
      <c r="B1051" t="s">
        <v>16</v>
      </c>
      <c r="C1051" s="2" t="s">
        <v>8337</v>
      </c>
      <c r="D1051" t="s">
        <v>7659</v>
      </c>
      <c r="E1051" t="s">
        <v>7658</v>
      </c>
      <c r="F1051" s="21">
        <v>1</v>
      </c>
      <c r="H1051" t="s">
        <v>7664</v>
      </c>
      <c r="I1051">
        <v>1</v>
      </c>
      <c r="K1051" t="s">
        <v>7660</v>
      </c>
      <c r="M1051" t="str">
        <f>"00223506"</f>
        <v>00223506</v>
      </c>
      <c r="N1051" s="2" t="str">
        <f>"20130201"</f>
        <v>20130201</v>
      </c>
      <c r="O1051">
        <v>81</v>
      </c>
      <c r="P1051">
        <v>1</v>
      </c>
      <c r="Q1051">
        <v>61</v>
      </c>
      <c r="R1051">
        <v>15</v>
      </c>
      <c r="S1051" t="s">
        <v>7661</v>
      </c>
      <c r="T1051" t="s">
        <v>7662</v>
      </c>
      <c r="U1051" t="s">
        <v>730</v>
      </c>
      <c r="V1051" t="s">
        <v>7663</v>
      </c>
      <c r="X1051" t="s">
        <v>7665</v>
      </c>
      <c r="Y1051" t="b">
        <f t="shared" si="16"/>
        <v>0</v>
      </c>
    </row>
    <row r="1052" spans="1:25" hidden="1">
      <c r="A1052" s="11" t="s">
        <v>9939</v>
      </c>
      <c r="B1052" t="s">
        <v>16</v>
      </c>
      <c r="C1052" s="2" t="s">
        <v>8349</v>
      </c>
      <c r="D1052" t="s">
        <v>3385</v>
      </c>
      <c r="E1052" t="s">
        <v>7666</v>
      </c>
      <c r="F1052" s="20">
        <v>0</v>
      </c>
      <c r="G1052" t="s">
        <v>9237</v>
      </c>
      <c r="H1052" t="s">
        <v>7670</v>
      </c>
      <c r="K1052" t="s">
        <v>933</v>
      </c>
      <c r="M1052" t="str">
        <f>"00103853"</f>
        <v>00103853</v>
      </c>
      <c r="N1052" s="2" t="str">
        <f>"20190215"</f>
        <v>20190215</v>
      </c>
      <c r="O1052">
        <v>55</v>
      </c>
      <c r="P1052">
        <v>2</v>
      </c>
      <c r="Q1052">
        <v>211</v>
      </c>
      <c r="R1052">
        <v>11</v>
      </c>
      <c r="S1052" t="s">
        <v>7667</v>
      </c>
      <c r="T1052" t="s">
        <v>7668</v>
      </c>
      <c r="U1052" t="s">
        <v>42</v>
      </c>
      <c r="V1052" t="s">
        <v>7669</v>
      </c>
      <c r="X1052" t="s">
        <v>7671</v>
      </c>
      <c r="Y1052" t="b">
        <f t="shared" si="16"/>
        <v>0</v>
      </c>
    </row>
    <row r="1053" spans="1:25">
      <c r="A1053" s="11" t="s">
        <v>9939</v>
      </c>
      <c r="B1053" t="s">
        <v>16</v>
      </c>
      <c r="C1053" s="2" t="s">
        <v>8346</v>
      </c>
      <c r="D1053" t="s">
        <v>7673</v>
      </c>
      <c r="E1053" t="s">
        <v>7672</v>
      </c>
      <c r="F1053" s="21">
        <v>1</v>
      </c>
      <c r="H1053" t="s">
        <v>7677</v>
      </c>
      <c r="I1053">
        <v>1</v>
      </c>
      <c r="K1053" t="s">
        <v>1308</v>
      </c>
      <c r="M1053" t="str">
        <f>"00472891"</f>
        <v>00472891</v>
      </c>
      <c r="N1053" s="2" t="str">
        <f>"20110201"</f>
        <v>20110201</v>
      </c>
      <c r="O1053">
        <v>40</v>
      </c>
      <c r="P1053">
        <v>2</v>
      </c>
      <c r="Q1053">
        <v>187</v>
      </c>
      <c r="R1053">
        <v>10</v>
      </c>
      <c r="S1053" t="s">
        <v>7674</v>
      </c>
      <c r="T1053" t="s">
        <v>7675</v>
      </c>
      <c r="U1053" t="s">
        <v>42</v>
      </c>
      <c r="V1053" t="s">
        <v>7676</v>
      </c>
      <c r="X1053" t="s">
        <v>7678</v>
      </c>
      <c r="Y1053" t="b">
        <f t="shared" si="16"/>
        <v>0</v>
      </c>
    </row>
    <row r="1054" spans="1:25">
      <c r="A1054" s="11" t="s">
        <v>9939</v>
      </c>
      <c r="B1054" t="s">
        <v>69</v>
      </c>
      <c r="C1054" s="2" t="s">
        <v>8337</v>
      </c>
      <c r="D1054" t="s">
        <v>7680</v>
      </c>
      <c r="E1054" t="s">
        <v>7679</v>
      </c>
      <c r="F1054" s="21">
        <v>1</v>
      </c>
      <c r="H1054" t="s">
        <v>7683</v>
      </c>
      <c r="I1054">
        <v>1</v>
      </c>
      <c r="K1054" t="s">
        <v>101</v>
      </c>
      <c r="L1054" t="str">
        <f>"9781267246325"</f>
        <v>9781267246325</v>
      </c>
      <c r="M1054" t="str">
        <f>"04194217"</f>
        <v>04194217</v>
      </c>
      <c r="N1054" s="2" t="str">
        <f>"20130101"</f>
        <v>20130101</v>
      </c>
      <c r="O1054">
        <v>73</v>
      </c>
      <c r="P1054" t="s">
        <v>284</v>
      </c>
      <c r="S1054" t="s">
        <v>7681</v>
      </c>
      <c r="U1054" t="s">
        <v>68</v>
      </c>
      <c r="V1054" t="s">
        <v>7682</v>
      </c>
      <c r="X1054" t="s">
        <v>7684</v>
      </c>
      <c r="Y1054" t="b">
        <f t="shared" si="16"/>
        <v>0</v>
      </c>
    </row>
    <row r="1055" spans="1:25">
      <c r="A1055" s="11" t="s">
        <v>9939</v>
      </c>
      <c r="B1055" t="s">
        <v>16</v>
      </c>
      <c r="C1055" s="2" t="s">
        <v>8339</v>
      </c>
      <c r="D1055" t="s">
        <v>7686</v>
      </c>
      <c r="E1055" t="s">
        <v>7685</v>
      </c>
      <c r="F1055" s="21">
        <v>1</v>
      </c>
      <c r="H1055" t="s">
        <v>7692</v>
      </c>
      <c r="I1055">
        <v>1</v>
      </c>
      <c r="K1055" t="s">
        <v>7687</v>
      </c>
      <c r="M1055" t="str">
        <f>"03012212"</f>
        <v>03012212</v>
      </c>
      <c r="N1055" s="2" t="str">
        <f>"20150101"</f>
        <v>20150101</v>
      </c>
      <c r="O1055">
        <v>43</v>
      </c>
      <c r="P1055">
        <v>2</v>
      </c>
      <c r="Q1055">
        <v>303</v>
      </c>
      <c r="R1055">
        <v>12</v>
      </c>
      <c r="S1055" t="s">
        <v>7688</v>
      </c>
      <c r="T1055" t="s">
        <v>7689</v>
      </c>
      <c r="U1055" t="s">
        <v>7690</v>
      </c>
      <c r="V1055" t="s">
        <v>7691</v>
      </c>
      <c r="X1055" t="s">
        <v>7693</v>
      </c>
      <c r="Y1055" t="b">
        <f t="shared" si="16"/>
        <v>0</v>
      </c>
    </row>
    <row r="1056" spans="1:25" hidden="1">
      <c r="A1056" s="11" t="s">
        <v>9939</v>
      </c>
      <c r="B1056" t="s">
        <v>16</v>
      </c>
      <c r="C1056" s="2" t="s">
        <v>8348</v>
      </c>
      <c r="D1056" t="s">
        <v>7695</v>
      </c>
      <c r="E1056" t="s">
        <v>7694</v>
      </c>
      <c r="H1056" t="s">
        <v>7699</v>
      </c>
      <c r="K1056" t="s">
        <v>132</v>
      </c>
      <c r="M1056" t="str">
        <f>"01471767"</f>
        <v>01471767</v>
      </c>
      <c r="N1056" s="2" t="str">
        <f>"20050501"</f>
        <v>20050501</v>
      </c>
      <c r="O1056">
        <v>29</v>
      </c>
      <c r="P1056">
        <v>3</v>
      </c>
      <c r="Q1056">
        <v>273</v>
      </c>
      <c r="R1056">
        <v>16</v>
      </c>
      <c r="S1056" t="s">
        <v>7696</v>
      </c>
      <c r="T1056" t="s">
        <v>7697</v>
      </c>
      <c r="U1056" t="s">
        <v>34</v>
      </c>
      <c r="V1056" t="s">
        <v>7698</v>
      </c>
      <c r="X1056" t="s">
        <v>7700</v>
      </c>
      <c r="Y1056" t="b">
        <f t="shared" si="16"/>
        <v>1</v>
      </c>
    </row>
    <row r="1057" spans="1:25" hidden="1">
      <c r="A1057" s="11" t="s">
        <v>9939</v>
      </c>
      <c r="B1057" t="s">
        <v>16</v>
      </c>
      <c r="C1057" s="2" t="s">
        <v>8336</v>
      </c>
      <c r="D1057" t="s">
        <v>7702</v>
      </c>
      <c r="E1057" t="s">
        <v>7701</v>
      </c>
      <c r="H1057" t="s">
        <v>7706</v>
      </c>
      <c r="K1057" t="s">
        <v>132</v>
      </c>
      <c r="M1057" t="str">
        <f>"01471767"</f>
        <v>01471767</v>
      </c>
      <c r="N1057" s="2" t="str">
        <f>"20070301"</f>
        <v>20070301</v>
      </c>
      <c r="O1057">
        <v>31</v>
      </c>
      <c r="P1057">
        <v>2</v>
      </c>
      <c r="Q1057">
        <v>181</v>
      </c>
      <c r="R1057">
        <v>17</v>
      </c>
      <c r="S1057" t="s">
        <v>7703</v>
      </c>
      <c r="T1057" t="s">
        <v>7704</v>
      </c>
      <c r="U1057" t="s">
        <v>34</v>
      </c>
      <c r="V1057" t="s">
        <v>7705</v>
      </c>
      <c r="X1057" t="s">
        <v>7707</v>
      </c>
      <c r="Y1057" t="b">
        <f t="shared" si="16"/>
        <v>1</v>
      </c>
    </row>
    <row r="1058" spans="1:25">
      <c r="A1058" s="11" t="s">
        <v>9939</v>
      </c>
      <c r="B1058" t="s">
        <v>16</v>
      </c>
      <c r="C1058" s="2" t="s">
        <v>8342</v>
      </c>
      <c r="D1058" t="s">
        <v>7709</v>
      </c>
      <c r="E1058" t="s">
        <v>7708</v>
      </c>
      <c r="F1058" s="21">
        <v>1</v>
      </c>
      <c r="H1058" t="s">
        <v>7713</v>
      </c>
      <c r="I1058">
        <v>1</v>
      </c>
      <c r="J1058" t="s">
        <v>9952</v>
      </c>
      <c r="K1058" t="s">
        <v>40</v>
      </c>
      <c r="M1058" t="str">
        <f>"15571912"</f>
        <v>15571912</v>
      </c>
      <c r="N1058" s="2" t="str">
        <f>"20120601"</f>
        <v>20120601</v>
      </c>
      <c r="O1058">
        <v>14</v>
      </c>
      <c r="P1058">
        <v>3</v>
      </c>
      <c r="Q1058">
        <v>379</v>
      </c>
      <c r="R1058">
        <v>7</v>
      </c>
      <c r="S1058" t="s">
        <v>7710</v>
      </c>
      <c r="T1058" t="s">
        <v>7711</v>
      </c>
      <c r="U1058" t="s">
        <v>42</v>
      </c>
      <c r="V1058" t="s">
        <v>7712</v>
      </c>
      <c r="X1058" t="s">
        <v>7714</v>
      </c>
      <c r="Y1058" t="b">
        <f t="shared" si="16"/>
        <v>0</v>
      </c>
    </row>
    <row r="1059" spans="1:25" hidden="1">
      <c r="A1059" s="11" t="s">
        <v>9939</v>
      </c>
      <c r="B1059" t="s">
        <v>69</v>
      </c>
      <c r="C1059" s="2" t="s">
        <v>8334</v>
      </c>
      <c r="D1059" t="s">
        <v>7716</v>
      </c>
      <c r="E1059" t="s">
        <v>7715</v>
      </c>
      <c r="F1059" s="20">
        <v>0</v>
      </c>
      <c r="G1059" t="s">
        <v>9178</v>
      </c>
      <c r="H1059" t="s">
        <v>7719</v>
      </c>
      <c r="K1059" t="s">
        <v>65</v>
      </c>
      <c r="L1059" t="str">
        <f>"9781303270451"</f>
        <v>9781303270451</v>
      </c>
      <c r="M1059" t="str">
        <f>"04194209"</f>
        <v>04194209</v>
      </c>
      <c r="N1059" s="2" t="str">
        <f>"20140101"</f>
        <v>20140101</v>
      </c>
      <c r="O1059">
        <v>74</v>
      </c>
      <c r="P1059" t="s">
        <v>6338</v>
      </c>
      <c r="S1059" t="s">
        <v>7717</v>
      </c>
      <c r="U1059" t="s">
        <v>68</v>
      </c>
      <c r="V1059" t="s">
        <v>7718</v>
      </c>
      <c r="X1059" t="s">
        <v>7720</v>
      </c>
      <c r="Y1059" t="b">
        <f t="shared" si="16"/>
        <v>0</v>
      </c>
    </row>
    <row r="1060" spans="1:25" hidden="1">
      <c r="A1060" s="11" t="s">
        <v>9939</v>
      </c>
      <c r="B1060" t="s">
        <v>69</v>
      </c>
      <c r="C1060" s="2" t="s">
        <v>8340</v>
      </c>
      <c r="D1060" t="s">
        <v>7722</v>
      </c>
      <c r="E1060" t="s">
        <v>7721</v>
      </c>
      <c r="F1060" s="20">
        <v>0</v>
      </c>
      <c r="G1060" t="s">
        <v>9178</v>
      </c>
      <c r="H1060" t="s">
        <v>7725</v>
      </c>
      <c r="K1060" t="s">
        <v>101</v>
      </c>
      <c r="L1060" t="str">
        <f>"9780438005082"</f>
        <v>9780438005082</v>
      </c>
      <c r="M1060" t="str">
        <f>"04194217"</f>
        <v>04194217</v>
      </c>
      <c r="N1060" s="2" t="str">
        <f>"20180101"</f>
        <v>20180101</v>
      </c>
      <c r="O1060">
        <v>79</v>
      </c>
      <c r="P1060" t="s">
        <v>7546</v>
      </c>
      <c r="S1060" t="s">
        <v>7723</v>
      </c>
      <c r="U1060" t="s">
        <v>68</v>
      </c>
      <c r="V1060" t="s">
        <v>7724</v>
      </c>
      <c r="X1060" t="s">
        <v>7726</v>
      </c>
      <c r="Y1060" t="b">
        <f t="shared" si="16"/>
        <v>0</v>
      </c>
    </row>
    <row r="1061" spans="1:25" hidden="1">
      <c r="A1061" s="11" t="s">
        <v>9939</v>
      </c>
      <c r="B1061" t="s">
        <v>16</v>
      </c>
      <c r="C1061" s="2" t="s">
        <v>8346</v>
      </c>
      <c r="D1061" t="s">
        <v>7728</v>
      </c>
      <c r="E1061" t="s">
        <v>7727</v>
      </c>
      <c r="F1061" s="20">
        <v>0</v>
      </c>
      <c r="G1061" t="s">
        <v>9178</v>
      </c>
      <c r="H1061" t="s">
        <v>7733</v>
      </c>
      <c r="K1061" t="s">
        <v>7729</v>
      </c>
      <c r="M1061" t="str">
        <f>"17405629"</f>
        <v>17405629</v>
      </c>
      <c r="N1061" s="2" t="str">
        <f>"20110501"</f>
        <v>20110501</v>
      </c>
      <c r="O1061">
        <v>8</v>
      </c>
      <c r="P1061">
        <v>3</v>
      </c>
      <c r="Q1061">
        <v>280</v>
      </c>
      <c r="R1061">
        <v>15</v>
      </c>
      <c r="S1061" t="s">
        <v>7730</v>
      </c>
      <c r="T1061" t="s">
        <v>7731</v>
      </c>
      <c r="U1061" t="s">
        <v>87</v>
      </c>
      <c r="V1061" t="s">
        <v>7732</v>
      </c>
      <c r="X1061" t="s">
        <v>7734</v>
      </c>
      <c r="Y1061" t="b">
        <f t="shared" si="16"/>
        <v>0</v>
      </c>
    </row>
    <row r="1062" spans="1:25" hidden="1">
      <c r="A1062" s="11" t="s">
        <v>9939</v>
      </c>
      <c r="B1062" t="s">
        <v>16</v>
      </c>
      <c r="C1062" s="2" t="s">
        <v>8340</v>
      </c>
      <c r="D1062" t="s">
        <v>7736</v>
      </c>
      <c r="E1062" t="s">
        <v>7735</v>
      </c>
      <c r="H1062" t="s">
        <v>7741</v>
      </c>
      <c r="K1062" t="s">
        <v>7737</v>
      </c>
      <c r="M1062" t="str">
        <f>"00332968"</f>
        <v>00332968</v>
      </c>
      <c r="N1062" s="2" t="str">
        <f>"20180901"</f>
        <v>20180901</v>
      </c>
      <c r="O1062">
        <v>63</v>
      </c>
      <c r="P1062">
        <v>3</v>
      </c>
      <c r="Q1062">
        <v>209</v>
      </c>
      <c r="R1062">
        <v>10</v>
      </c>
      <c r="S1062" t="s">
        <v>7738</v>
      </c>
      <c r="T1062" t="s">
        <v>7739</v>
      </c>
      <c r="U1062" t="s">
        <v>42</v>
      </c>
      <c r="V1062" t="s">
        <v>7740</v>
      </c>
      <c r="X1062" t="s">
        <v>7742</v>
      </c>
      <c r="Y1062" t="b">
        <f t="shared" si="16"/>
        <v>1</v>
      </c>
    </row>
    <row r="1063" spans="1:25" hidden="1">
      <c r="A1063" s="11" t="s">
        <v>9939</v>
      </c>
      <c r="B1063" t="s">
        <v>16</v>
      </c>
      <c r="C1063" s="2" t="s">
        <v>8353</v>
      </c>
      <c r="D1063" t="s">
        <v>7736</v>
      </c>
      <c r="E1063" t="s">
        <v>7743</v>
      </c>
      <c r="H1063" t="s">
        <v>7747</v>
      </c>
      <c r="K1063" t="s">
        <v>132</v>
      </c>
      <c r="M1063" t="str">
        <f>"01471767"</f>
        <v>01471767</v>
      </c>
      <c r="N1063" s="2" t="str">
        <f>"20160901"</f>
        <v>20160901</v>
      </c>
      <c r="O1063">
        <v>54</v>
      </c>
      <c r="Q1063">
        <v>47</v>
      </c>
      <c r="R1063">
        <v>8</v>
      </c>
      <c r="S1063" t="s">
        <v>7744</v>
      </c>
      <c r="T1063" t="s">
        <v>7745</v>
      </c>
      <c r="U1063" t="s">
        <v>34</v>
      </c>
      <c r="V1063" t="s">
        <v>7746</v>
      </c>
      <c r="X1063" t="s">
        <v>7748</v>
      </c>
      <c r="Y1063" t="b">
        <f t="shared" si="16"/>
        <v>1</v>
      </c>
    </row>
    <row r="1064" spans="1:25">
      <c r="A1064" s="11" t="s">
        <v>9939</v>
      </c>
      <c r="B1064" t="s">
        <v>16</v>
      </c>
      <c r="C1064" s="2" t="s">
        <v>8346</v>
      </c>
      <c r="D1064" t="s">
        <v>7750</v>
      </c>
      <c r="E1064" t="s">
        <v>7749</v>
      </c>
      <c r="F1064" s="21">
        <v>1</v>
      </c>
      <c r="H1064" t="s">
        <v>7754</v>
      </c>
      <c r="I1064">
        <v>1</v>
      </c>
      <c r="K1064" t="s">
        <v>1774</v>
      </c>
      <c r="M1064" t="str">
        <f>"0049089X"</f>
        <v>0049089X</v>
      </c>
      <c r="N1064" s="2" t="str">
        <f>"20110501"</f>
        <v>20110501</v>
      </c>
      <c r="O1064">
        <v>40</v>
      </c>
      <c r="P1064">
        <v>3</v>
      </c>
      <c r="Q1064">
        <v>965</v>
      </c>
      <c r="R1064">
        <v>20</v>
      </c>
      <c r="S1064" t="s">
        <v>7751</v>
      </c>
      <c r="T1064" t="s">
        <v>7752</v>
      </c>
      <c r="U1064" t="s">
        <v>34</v>
      </c>
      <c r="V1064" t="s">
        <v>7753</v>
      </c>
      <c r="X1064" t="s">
        <v>7755</v>
      </c>
      <c r="Y1064" t="b">
        <f t="shared" si="16"/>
        <v>0</v>
      </c>
    </row>
    <row r="1065" spans="1:25">
      <c r="A1065" s="11" t="s">
        <v>9939</v>
      </c>
      <c r="B1065" t="s">
        <v>16</v>
      </c>
      <c r="C1065" s="2" t="s">
        <v>8346</v>
      </c>
      <c r="D1065" t="s">
        <v>7757</v>
      </c>
      <c r="E1065" t="s">
        <v>7756</v>
      </c>
      <c r="F1065" s="21">
        <v>1</v>
      </c>
      <c r="H1065" t="s">
        <v>7761</v>
      </c>
      <c r="I1065">
        <v>1</v>
      </c>
      <c r="K1065" t="s">
        <v>2238</v>
      </c>
      <c r="M1065" t="str">
        <f>"00914150"</f>
        <v>00914150</v>
      </c>
      <c r="N1065" s="2" t="str">
        <f>"20110101"</f>
        <v>20110101</v>
      </c>
      <c r="O1065">
        <v>73</v>
      </c>
      <c r="P1065">
        <v>4</v>
      </c>
      <c r="Q1065">
        <v>283</v>
      </c>
      <c r="R1065">
        <v>16</v>
      </c>
      <c r="S1065" t="s">
        <v>7758</v>
      </c>
      <c r="T1065" t="s">
        <v>7759</v>
      </c>
      <c r="U1065" t="s">
        <v>2241</v>
      </c>
      <c r="V1065" t="s">
        <v>7760</v>
      </c>
      <c r="X1065" t="s">
        <v>7762</v>
      </c>
      <c r="Y1065" t="b">
        <f t="shared" si="16"/>
        <v>0</v>
      </c>
    </row>
    <row r="1066" spans="1:25">
      <c r="A1066" s="11" t="s">
        <v>9939</v>
      </c>
      <c r="B1066" t="s">
        <v>16</v>
      </c>
      <c r="C1066" s="2" t="s">
        <v>8344</v>
      </c>
      <c r="D1066" t="s">
        <v>7764</v>
      </c>
      <c r="E1066" t="s">
        <v>7763</v>
      </c>
      <c r="F1066" s="21">
        <v>1</v>
      </c>
      <c r="H1066" t="s">
        <v>7768</v>
      </c>
      <c r="I1066">
        <v>1</v>
      </c>
      <c r="K1066" t="s">
        <v>322</v>
      </c>
      <c r="M1066" t="str">
        <f>"03038300"</f>
        <v>03038300</v>
      </c>
      <c r="N1066" s="2" t="str">
        <f>"20100801"</f>
        <v>20100801</v>
      </c>
      <c r="O1066">
        <v>98</v>
      </c>
      <c r="P1066">
        <v>1</v>
      </c>
      <c r="Q1066">
        <v>89</v>
      </c>
      <c r="R1066">
        <v>16</v>
      </c>
      <c r="S1066" t="s">
        <v>7765</v>
      </c>
      <c r="T1066" t="s">
        <v>7766</v>
      </c>
      <c r="U1066" t="s">
        <v>42</v>
      </c>
      <c r="V1066" t="s">
        <v>7767</v>
      </c>
      <c r="X1066" t="s">
        <v>7769</v>
      </c>
      <c r="Y1066" t="b">
        <f t="shared" si="16"/>
        <v>0</v>
      </c>
    </row>
    <row r="1067" spans="1:25">
      <c r="A1067" s="11" t="s">
        <v>9939</v>
      </c>
      <c r="B1067" t="s">
        <v>16</v>
      </c>
      <c r="C1067" s="2" t="s">
        <v>8344</v>
      </c>
      <c r="D1067" t="s">
        <v>7771</v>
      </c>
      <c r="E1067" t="s">
        <v>7770</v>
      </c>
      <c r="F1067" s="21">
        <v>1</v>
      </c>
      <c r="H1067" t="s">
        <v>7775</v>
      </c>
      <c r="I1067">
        <v>1</v>
      </c>
      <c r="K1067" t="s">
        <v>132</v>
      </c>
      <c r="M1067" t="str">
        <f>"01471767"</f>
        <v>01471767</v>
      </c>
      <c r="N1067" s="2" t="str">
        <f>"20100901"</f>
        <v>20100901</v>
      </c>
      <c r="O1067">
        <v>34</v>
      </c>
      <c r="P1067">
        <v>5</v>
      </c>
      <c r="Q1067">
        <v>465</v>
      </c>
      <c r="R1067">
        <v>10</v>
      </c>
      <c r="S1067" t="s">
        <v>7772</v>
      </c>
      <c r="T1067" t="s">
        <v>7773</v>
      </c>
      <c r="U1067" t="s">
        <v>34</v>
      </c>
      <c r="V1067" t="s">
        <v>7774</v>
      </c>
      <c r="X1067" t="s">
        <v>7776</v>
      </c>
      <c r="Y1067" t="b">
        <f t="shared" si="16"/>
        <v>0</v>
      </c>
    </row>
    <row r="1068" spans="1:25">
      <c r="A1068" s="11" t="s">
        <v>9939</v>
      </c>
      <c r="B1068" t="s">
        <v>16</v>
      </c>
      <c r="C1068" s="2" t="s">
        <v>8344</v>
      </c>
      <c r="D1068" t="s">
        <v>7778</v>
      </c>
      <c r="E1068" t="s">
        <v>7777</v>
      </c>
      <c r="F1068" s="21">
        <v>1</v>
      </c>
      <c r="H1068" t="s">
        <v>7782</v>
      </c>
      <c r="I1068">
        <v>0</v>
      </c>
      <c r="J1068" t="s">
        <v>9249</v>
      </c>
      <c r="K1068" t="s">
        <v>132</v>
      </c>
      <c r="M1068" t="str">
        <f>"01471767"</f>
        <v>01471767</v>
      </c>
      <c r="N1068" s="2" t="str">
        <f>"20101101"</f>
        <v>20101101</v>
      </c>
      <c r="O1068">
        <v>34</v>
      </c>
      <c r="P1068">
        <v>6</v>
      </c>
      <c r="Q1068">
        <v>642</v>
      </c>
      <c r="R1068">
        <v>9</v>
      </c>
      <c r="S1068" t="s">
        <v>7779</v>
      </c>
      <c r="T1068" t="s">
        <v>7780</v>
      </c>
      <c r="U1068" t="s">
        <v>34</v>
      </c>
      <c r="V1068" t="s">
        <v>7781</v>
      </c>
      <c r="X1068" t="s">
        <v>7783</v>
      </c>
      <c r="Y1068" t="b">
        <f t="shared" si="16"/>
        <v>0</v>
      </c>
    </row>
    <row r="1069" spans="1:25" hidden="1">
      <c r="A1069" s="11" t="s">
        <v>9939</v>
      </c>
      <c r="B1069" t="s">
        <v>16</v>
      </c>
      <c r="C1069" s="2" t="s">
        <v>8349</v>
      </c>
      <c r="D1069" t="s">
        <v>7785</v>
      </c>
      <c r="E1069" t="s">
        <v>7784</v>
      </c>
      <c r="F1069" s="20">
        <v>0</v>
      </c>
      <c r="G1069" t="s">
        <v>9178</v>
      </c>
      <c r="H1069" t="s">
        <v>7790</v>
      </c>
      <c r="K1069" t="s">
        <v>5541</v>
      </c>
      <c r="M1069" t="str">
        <f>"0162220X"</f>
        <v>0162220X</v>
      </c>
      <c r="N1069" s="2" t="str">
        <f>"20190501"</f>
        <v>20190501</v>
      </c>
      <c r="O1069">
        <v>42</v>
      </c>
      <c r="P1069">
        <v>3</v>
      </c>
      <c r="Q1069" t="s">
        <v>7786</v>
      </c>
      <c r="R1069">
        <v>10</v>
      </c>
      <c r="S1069" t="s">
        <v>7787</v>
      </c>
      <c r="T1069" t="s">
        <v>7788</v>
      </c>
      <c r="U1069" t="s">
        <v>25</v>
      </c>
      <c r="V1069" t="s">
        <v>7789</v>
      </c>
      <c r="X1069" t="s">
        <v>7791</v>
      </c>
      <c r="Y1069" t="b">
        <f t="shared" si="16"/>
        <v>0</v>
      </c>
    </row>
    <row r="1070" spans="1:25" hidden="1">
      <c r="A1070" s="11" t="s">
        <v>9939</v>
      </c>
      <c r="B1070" t="s">
        <v>16</v>
      </c>
      <c r="C1070" s="2" t="s">
        <v>8349</v>
      </c>
      <c r="D1070" t="s">
        <v>7793</v>
      </c>
      <c r="E1070" t="s">
        <v>7792</v>
      </c>
      <c r="H1070" t="s">
        <v>7797</v>
      </c>
      <c r="K1070" t="s">
        <v>132</v>
      </c>
      <c r="M1070" t="str">
        <f>"01471767"</f>
        <v>01471767</v>
      </c>
      <c r="N1070" s="2" t="str">
        <f>"20190701"</f>
        <v>20190701</v>
      </c>
      <c r="O1070">
        <v>71</v>
      </c>
      <c r="Q1070">
        <v>60</v>
      </c>
      <c r="R1070">
        <v>12</v>
      </c>
      <c r="S1070" t="s">
        <v>7794</v>
      </c>
      <c r="T1070" t="s">
        <v>7795</v>
      </c>
      <c r="U1070" t="s">
        <v>34</v>
      </c>
      <c r="V1070" t="s">
        <v>7796</v>
      </c>
      <c r="X1070" t="s">
        <v>7798</v>
      </c>
      <c r="Y1070" t="b">
        <f t="shared" si="16"/>
        <v>1</v>
      </c>
    </row>
    <row r="1071" spans="1:25" hidden="1">
      <c r="A1071" s="11" t="s">
        <v>9939</v>
      </c>
      <c r="B1071" t="s">
        <v>16</v>
      </c>
      <c r="C1071" s="2" t="s">
        <v>8343</v>
      </c>
      <c r="D1071" t="s">
        <v>7800</v>
      </c>
      <c r="E1071" t="s">
        <v>7799</v>
      </c>
      <c r="F1071" s="20">
        <v>0</v>
      </c>
      <c r="G1071" t="s">
        <v>9249</v>
      </c>
      <c r="H1071" t="s">
        <v>7804</v>
      </c>
      <c r="K1071" t="s">
        <v>132</v>
      </c>
      <c r="M1071" t="str">
        <f>"01471767"</f>
        <v>01471767</v>
      </c>
      <c r="N1071" s="2" t="str">
        <f>"20170901"</f>
        <v>20170901</v>
      </c>
      <c r="O1071">
        <v>60</v>
      </c>
      <c r="Q1071">
        <v>28</v>
      </c>
      <c r="R1071">
        <v>12</v>
      </c>
      <c r="S1071" t="s">
        <v>7801</v>
      </c>
      <c r="T1071" t="s">
        <v>7802</v>
      </c>
      <c r="U1071" t="s">
        <v>34</v>
      </c>
      <c r="V1071" t="s">
        <v>7803</v>
      </c>
      <c r="X1071" t="s">
        <v>7805</v>
      </c>
      <c r="Y1071" t="b">
        <f t="shared" si="16"/>
        <v>0</v>
      </c>
    </row>
    <row r="1072" spans="1:25">
      <c r="A1072" s="11" t="s">
        <v>9939</v>
      </c>
      <c r="B1072" t="s">
        <v>16</v>
      </c>
      <c r="C1072" s="2" t="s">
        <v>8338</v>
      </c>
      <c r="D1072" t="s">
        <v>7807</v>
      </c>
      <c r="E1072" t="s">
        <v>7806</v>
      </c>
      <c r="F1072" s="21">
        <v>1</v>
      </c>
      <c r="H1072" t="s">
        <v>7811</v>
      </c>
      <c r="I1072">
        <v>0</v>
      </c>
      <c r="J1072" t="s">
        <v>9245</v>
      </c>
      <c r="K1072" t="s">
        <v>40</v>
      </c>
      <c r="M1072" t="str">
        <f>"15571912"</f>
        <v>15571912</v>
      </c>
      <c r="N1072" s="2" t="str">
        <f>"20061001"</f>
        <v>20061001</v>
      </c>
      <c r="O1072">
        <v>8</v>
      </c>
      <c r="P1072">
        <v>4</v>
      </c>
      <c r="Q1072">
        <v>347</v>
      </c>
      <c r="R1072">
        <v>12</v>
      </c>
      <c r="S1072" t="s">
        <v>7808</v>
      </c>
      <c r="T1072" t="s">
        <v>7809</v>
      </c>
      <c r="U1072" t="s">
        <v>42</v>
      </c>
      <c r="V1072" t="s">
        <v>7810</v>
      </c>
      <c r="X1072" t="s">
        <v>7812</v>
      </c>
      <c r="Y1072" t="b">
        <f t="shared" si="16"/>
        <v>0</v>
      </c>
    </row>
    <row r="1073" spans="1:25" hidden="1">
      <c r="A1073" s="11" t="s">
        <v>9939</v>
      </c>
      <c r="B1073" t="s">
        <v>16</v>
      </c>
      <c r="C1073" s="2" t="s">
        <v>8348</v>
      </c>
      <c r="D1073" t="s">
        <v>7814</v>
      </c>
      <c r="E1073" t="s">
        <v>7813</v>
      </c>
      <c r="F1073" s="20">
        <v>0</v>
      </c>
      <c r="G1073" t="s">
        <v>9178</v>
      </c>
      <c r="H1073" t="s">
        <v>7819</v>
      </c>
      <c r="K1073" t="s">
        <v>7815</v>
      </c>
      <c r="M1073" t="str">
        <f>"02763478"</f>
        <v>02763478</v>
      </c>
      <c r="N1073" s="2" t="str">
        <f>"20051201"</f>
        <v>20051201</v>
      </c>
      <c r="O1073">
        <v>38</v>
      </c>
      <c r="P1073">
        <v>4</v>
      </c>
      <c r="Q1073">
        <v>310</v>
      </c>
      <c r="R1073">
        <v>13</v>
      </c>
      <c r="S1073" t="s">
        <v>7816</v>
      </c>
      <c r="T1073" t="s">
        <v>7817</v>
      </c>
      <c r="U1073" t="s">
        <v>224</v>
      </c>
      <c r="V1073" t="s">
        <v>7818</v>
      </c>
      <c r="X1073" t="s">
        <v>7820</v>
      </c>
      <c r="Y1073" t="b">
        <f t="shared" si="16"/>
        <v>0</v>
      </c>
    </row>
    <row r="1074" spans="1:25" hidden="1">
      <c r="A1074" s="11" t="s">
        <v>9939</v>
      </c>
      <c r="B1074" t="s">
        <v>16</v>
      </c>
      <c r="C1074" s="2" t="s">
        <v>8343</v>
      </c>
      <c r="D1074" t="s">
        <v>7822</v>
      </c>
      <c r="E1074" t="s">
        <v>7821</v>
      </c>
      <c r="F1074" s="20">
        <v>0</v>
      </c>
      <c r="G1074" t="s">
        <v>9178</v>
      </c>
      <c r="H1074" t="s">
        <v>7826</v>
      </c>
      <c r="K1074" t="s">
        <v>197</v>
      </c>
      <c r="M1074" t="str">
        <f>"10436596"</f>
        <v>10436596</v>
      </c>
      <c r="N1074" s="2" t="str">
        <f>"20170301"</f>
        <v>20170301</v>
      </c>
      <c r="O1074">
        <v>28</v>
      </c>
      <c r="P1074">
        <v>2</v>
      </c>
      <c r="Q1074">
        <v>179</v>
      </c>
      <c r="R1074">
        <v>8</v>
      </c>
      <c r="S1074" t="s">
        <v>7823</v>
      </c>
      <c r="T1074" t="s">
        <v>7824</v>
      </c>
      <c r="U1074" t="s">
        <v>15</v>
      </c>
      <c r="V1074" t="s">
        <v>7825</v>
      </c>
      <c r="X1074" t="s">
        <v>7827</v>
      </c>
      <c r="Y1074" t="b">
        <f t="shared" si="16"/>
        <v>0</v>
      </c>
    </row>
    <row r="1075" spans="1:25">
      <c r="A1075" s="11" t="s">
        <v>9939</v>
      </c>
      <c r="B1075" t="s">
        <v>16</v>
      </c>
      <c r="C1075" s="2" t="s">
        <v>8346</v>
      </c>
      <c r="D1075" t="s">
        <v>7829</v>
      </c>
      <c r="E1075" t="s">
        <v>7828</v>
      </c>
      <c r="F1075" s="21">
        <v>1</v>
      </c>
      <c r="H1075" t="s">
        <v>7833</v>
      </c>
      <c r="I1075">
        <v>1</v>
      </c>
      <c r="K1075" t="s">
        <v>1612</v>
      </c>
      <c r="M1075" t="str">
        <f>"07334648"</f>
        <v>07334648</v>
      </c>
      <c r="N1075" s="2" t="str">
        <f>"20110401"</f>
        <v>20110401</v>
      </c>
      <c r="O1075">
        <v>30</v>
      </c>
      <c r="P1075">
        <v>2</v>
      </c>
      <c r="Q1075">
        <v>159</v>
      </c>
      <c r="R1075">
        <v>14</v>
      </c>
      <c r="S1075" t="s">
        <v>7830</v>
      </c>
      <c r="T1075" t="s">
        <v>7831</v>
      </c>
      <c r="U1075" t="s">
        <v>15</v>
      </c>
      <c r="V1075" t="s">
        <v>7832</v>
      </c>
      <c r="X1075" t="s">
        <v>7834</v>
      </c>
      <c r="Y1075" t="b">
        <f t="shared" si="16"/>
        <v>0</v>
      </c>
    </row>
    <row r="1076" spans="1:25" hidden="1">
      <c r="A1076" s="11" t="s">
        <v>9939</v>
      </c>
      <c r="B1076" t="s">
        <v>16</v>
      </c>
      <c r="C1076" s="2" t="s">
        <v>8334</v>
      </c>
      <c r="D1076" t="s">
        <v>7836</v>
      </c>
      <c r="E1076" t="s">
        <v>7835</v>
      </c>
      <c r="F1076" s="20">
        <v>0</v>
      </c>
      <c r="G1076" t="s">
        <v>9237</v>
      </c>
      <c r="H1076" t="s">
        <v>7840</v>
      </c>
      <c r="K1076" t="s">
        <v>1743</v>
      </c>
      <c r="M1076" t="str">
        <f>"02615177"</f>
        <v>02615177</v>
      </c>
      <c r="N1076" s="2" t="str">
        <f>"20140201"</f>
        <v>20140201</v>
      </c>
      <c r="O1076">
        <v>40</v>
      </c>
      <c r="Q1076">
        <v>311</v>
      </c>
      <c r="R1076">
        <v>10</v>
      </c>
      <c r="S1076" t="s">
        <v>7837</v>
      </c>
      <c r="T1076" t="s">
        <v>7838</v>
      </c>
      <c r="U1076" t="s">
        <v>34</v>
      </c>
      <c r="V1076" t="s">
        <v>7839</v>
      </c>
      <c r="X1076" t="s">
        <v>7841</v>
      </c>
      <c r="Y1076" t="b">
        <f t="shared" si="16"/>
        <v>0</v>
      </c>
    </row>
    <row r="1077" spans="1:25" hidden="1">
      <c r="A1077" s="11" t="s">
        <v>9939</v>
      </c>
      <c r="B1077" t="s">
        <v>16</v>
      </c>
      <c r="C1077" s="2" t="s">
        <v>8344</v>
      </c>
      <c r="D1077" t="s">
        <v>7843</v>
      </c>
      <c r="E1077" t="s">
        <v>7842</v>
      </c>
      <c r="H1077" t="s">
        <v>7847</v>
      </c>
      <c r="K1077" t="s">
        <v>2826</v>
      </c>
      <c r="M1077" t="str">
        <f>"18344909"</f>
        <v>18344909</v>
      </c>
      <c r="N1077" s="2" t="str">
        <f>"20100501"</f>
        <v>20100501</v>
      </c>
      <c r="O1077">
        <v>4</v>
      </c>
      <c r="P1077">
        <v>1</v>
      </c>
      <c r="Q1077">
        <v>53</v>
      </c>
      <c r="R1077">
        <v>8</v>
      </c>
      <c r="S1077" t="s">
        <v>7844</v>
      </c>
      <c r="T1077" t="s">
        <v>7845</v>
      </c>
      <c r="U1077" t="s">
        <v>333</v>
      </c>
      <c r="V1077" t="s">
        <v>7846</v>
      </c>
      <c r="X1077" t="s">
        <v>7848</v>
      </c>
      <c r="Y1077" t="b">
        <f t="shared" si="16"/>
        <v>1</v>
      </c>
    </row>
    <row r="1078" spans="1:25">
      <c r="A1078" s="11" t="s">
        <v>9939</v>
      </c>
      <c r="B1078" t="s">
        <v>69</v>
      </c>
      <c r="C1078" s="2" t="s">
        <v>8348</v>
      </c>
      <c r="D1078" t="s">
        <v>7850</v>
      </c>
      <c r="E1078" t="s">
        <v>7849</v>
      </c>
      <c r="F1078" s="21">
        <v>1</v>
      </c>
      <c r="H1078" t="s">
        <v>7853</v>
      </c>
      <c r="I1078">
        <v>1</v>
      </c>
      <c r="K1078" t="s">
        <v>101</v>
      </c>
      <c r="M1078" t="str">
        <f>"04194217"</f>
        <v>04194217</v>
      </c>
      <c r="N1078" s="2" t="str">
        <f>"20050101"</f>
        <v>20050101</v>
      </c>
      <c r="O1078">
        <v>65</v>
      </c>
      <c r="P1078" t="s">
        <v>613</v>
      </c>
      <c r="Q1078">
        <v>6690</v>
      </c>
      <c r="R1078">
        <v>1</v>
      </c>
      <c r="S1078" t="s">
        <v>7851</v>
      </c>
      <c r="U1078" t="s">
        <v>68</v>
      </c>
      <c r="V1078" t="s">
        <v>7852</v>
      </c>
      <c r="X1078" t="s">
        <v>7854</v>
      </c>
      <c r="Y1078" t="b">
        <f t="shared" si="16"/>
        <v>0</v>
      </c>
    </row>
    <row r="1079" spans="1:25" hidden="1">
      <c r="A1079" s="11" t="s">
        <v>9939</v>
      </c>
      <c r="B1079" t="s">
        <v>16</v>
      </c>
      <c r="C1079" s="2" t="s">
        <v>8353</v>
      </c>
      <c r="D1079" t="s">
        <v>7856</v>
      </c>
      <c r="E1079" t="s">
        <v>7855</v>
      </c>
      <c r="F1079" s="20">
        <v>0</v>
      </c>
      <c r="G1079" t="s">
        <v>9237</v>
      </c>
      <c r="H1079" t="s">
        <v>7860</v>
      </c>
      <c r="K1079" t="s">
        <v>339</v>
      </c>
      <c r="M1079" t="str">
        <f>"01419870"</f>
        <v>01419870</v>
      </c>
      <c r="N1079" s="2" t="str">
        <f>"20160101"</f>
        <v>20160101</v>
      </c>
      <c r="O1079">
        <v>39</v>
      </c>
      <c r="P1079">
        <v>2</v>
      </c>
      <c r="Q1079">
        <v>280</v>
      </c>
      <c r="R1079">
        <v>21</v>
      </c>
      <c r="S1079" t="s">
        <v>7857</v>
      </c>
      <c r="T1079" t="s">
        <v>7858</v>
      </c>
      <c r="U1079" t="s">
        <v>87</v>
      </c>
      <c r="V1079" t="s">
        <v>7859</v>
      </c>
      <c r="X1079" t="s">
        <v>7861</v>
      </c>
      <c r="Y1079" t="b">
        <f t="shared" si="16"/>
        <v>0</v>
      </c>
    </row>
    <row r="1080" spans="1:25">
      <c r="A1080" s="11" t="s">
        <v>9939</v>
      </c>
      <c r="B1080" t="s">
        <v>16</v>
      </c>
      <c r="C1080" s="2" t="s">
        <v>8334</v>
      </c>
      <c r="D1080" t="s">
        <v>7863</v>
      </c>
      <c r="E1080" t="s">
        <v>7862</v>
      </c>
      <c r="F1080" s="21">
        <v>1</v>
      </c>
      <c r="H1080" t="s">
        <v>7867</v>
      </c>
      <c r="I1080">
        <v>0</v>
      </c>
      <c r="J1080" t="s">
        <v>9237</v>
      </c>
      <c r="K1080" t="s">
        <v>4861</v>
      </c>
      <c r="M1080" t="str">
        <f>"01956663"</f>
        <v>01956663</v>
      </c>
      <c r="N1080" s="2" t="str">
        <f>"20141001"</f>
        <v>20141001</v>
      </c>
      <c r="O1080">
        <v>81</v>
      </c>
      <c r="Q1080">
        <v>93</v>
      </c>
      <c r="R1080">
        <v>9</v>
      </c>
      <c r="S1080" t="s">
        <v>7864</v>
      </c>
      <c r="T1080" t="s">
        <v>7865</v>
      </c>
      <c r="U1080" t="s">
        <v>34</v>
      </c>
      <c r="V1080" t="s">
        <v>7866</v>
      </c>
      <c r="X1080" t="s">
        <v>7868</v>
      </c>
      <c r="Y1080" t="b">
        <f t="shared" si="16"/>
        <v>0</v>
      </c>
    </row>
    <row r="1081" spans="1:25">
      <c r="A1081" s="11" t="s">
        <v>9939</v>
      </c>
      <c r="B1081" t="s">
        <v>16</v>
      </c>
      <c r="C1081" s="2" t="s">
        <v>8343</v>
      </c>
      <c r="D1081" t="s">
        <v>7870</v>
      </c>
      <c r="E1081" t="s">
        <v>7869</v>
      </c>
      <c r="F1081" s="21">
        <v>1</v>
      </c>
      <c r="H1081" t="s">
        <v>7874</v>
      </c>
      <c r="I1081">
        <v>1</v>
      </c>
      <c r="K1081" t="s">
        <v>1308</v>
      </c>
      <c r="M1081" t="str">
        <f>"00472891"</f>
        <v>00472891</v>
      </c>
      <c r="N1081" s="2" t="str">
        <f>"20171001"</f>
        <v>20171001</v>
      </c>
      <c r="O1081">
        <v>46</v>
      </c>
      <c r="P1081">
        <v>10</v>
      </c>
      <c r="Q1081">
        <v>2143</v>
      </c>
      <c r="R1081">
        <v>14</v>
      </c>
      <c r="S1081" t="s">
        <v>7871</v>
      </c>
      <c r="T1081" t="s">
        <v>7872</v>
      </c>
      <c r="U1081" t="s">
        <v>42</v>
      </c>
      <c r="V1081" t="s">
        <v>7873</v>
      </c>
      <c r="X1081" t="s">
        <v>7875</v>
      </c>
      <c r="Y1081" t="b">
        <f t="shared" si="16"/>
        <v>0</v>
      </c>
    </row>
    <row r="1082" spans="1:25" hidden="1">
      <c r="A1082" s="11" t="s">
        <v>9939</v>
      </c>
      <c r="B1082" t="s">
        <v>69</v>
      </c>
      <c r="C1082" s="2" t="s">
        <v>8339</v>
      </c>
      <c r="D1082" t="s">
        <v>7877</v>
      </c>
      <c r="E1082" t="s">
        <v>7876</v>
      </c>
      <c r="F1082" s="20">
        <v>0</v>
      </c>
      <c r="G1082" t="s">
        <v>9178</v>
      </c>
      <c r="H1082" t="s">
        <v>7881</v>
      </c>
      <c r="K1082" t="s">
        <v>65</v>
      </c>
      <c r="M1082" t="str">
        <f>"04194209"</f>
        <v>04194209</v>
      </c>
      <c r="N1082" s="2" t="str">
        <f>"20150101"</f>
        <v>20150101</v>
      </c>
      <c r="O1082">
        <v>75</v>
      </c>
      <c r="P1082" t="s">
        <v>7878</v>
      </c>
      <c r="S1082" t="s">
        <v>7879</v>
      </c>
      <c r="U1082" t="s">
        <v>68</v>
      </c>
      <c r="V1082" t="s">
        <v>7880</v>
      </c>
      <c r="X1082" t="s">
        <v>7882</v>
      </c>
      <c r="Y1082" t="b">
        <f t="shared" si="16"/>
        <v>0</v>
      </c>
    </row>
    <row r="1083" spans="1:25" hidden="1">
      <c r="A1083" s="11" t="s">
        <v>9939</v>
      </c>
      <c r="B1083" t="s">
        <v>16</v>
      </c>
      <c r="C1083" s="2" t="s">
        <v>8335</v>
      </c>
      <c r="D1083" t="s">
        <v>7884</v>
      </c>
      <c r="E1083" t="s">
        <v>7883</v>
      </c>
      <c r="F1083" s="20">
        <v>0</v>
      </c>
      <c r="G1083" t="s">
        <v>9178</v>
      </c>
      <c r="H1083" t="s">
        <v>7888</v>
      </c>
      <c r="K1083" t="s">
        <v>485</v>
      </c>
      <c r="M1083" t="str">
        <f>"10964045"</f>
        <v>10964045</v>
      </c>
      <c r="N1083" s="2" t="str">
        <f>"20041001"</f>
        <v>20041001</v>
      </c>
      <c r="O1083">
        <v>6</v>
      </c>
      <c r="P1083">
        <v>4</v>
      </c>
      <c r="Q1083">
        <v>167</v>
      </c>
      <c r="R1083">
        <v>12</v>
      </c>
      <c r="S1083" t="s">
        <v>7885</v>
      </c>
      <c r="T1083" t="s">
        <v>7886</v>
      </c>
      <c r="U1083" t="s">
        <v>42</v>
      </c>
      <c r="V1083" t="s">
        <v>7887</v>
      </c>
      <c r="X1083" t="s">
        <v>7889</v>
      </c>
      <c r="Y1083" t="b">
        <f t="shared" si="16"/>
        <v>0</v>
      </c>
    </row>
    <row r="1084" spans="1:25" hidden="1">
      <c r="A1084" s="11" t="s">
        <v>9939</v>
      </c>
      <c r="B1084" t="s">
        <v>16</v>
      </c>
      <c r="C1084" s="2" t="s">
        <v>8338</v>
      </c>
      <c r="D1084" t="s">
        <v>7891</v>
      </c>
      <c r="E1084" t="s">
        <v>7890</v>
      </c>
      <c r="H1084" t="s">
        <v>7895</v>
      </c>
      <c r="K1084" t="s">
        <v>2541</v>
      </c>
      <c r="M1084" t="str">
        <f>"00048674"</f>
        <v>00048674</v>
      </c>
      <c r="N1084" s="2" t="str">
        <f>"20060201"</f>
        <v>20060201</v>
      </c>
      <c r="O1084">
        <v>40</v>
      </c>
      <c r="P1084">
        <v>2</v>
      </c>
      <c r="Q1084">
        <v>179</v>
      </c>
      <c r="R1084">
        <v>9</v>
      </c>
      <c r="S1084" t="s">
        <v>7892</v>
      </c>
      <c r="T1084" t="s">
        <v>7893</v>
      </c>
      <c r="U1084" t="s">
        <v>464</v>
      </c>
      <c r="V1084" t="s">
        <v>7894</v>
      </c>
      <c r="X1084" t="s">
        <v>7896</v>
      </c>
      <c r="Y1084" t="b">
        <f t="shared" si="16"/>
        <v>1</v>
      </c>
    </row>
    <row r="1085" spans="1:25">
      <c r="A1085" s="11" t="s">
        <v>9939</v>
      </c>
      <c r="B1085" t="s">
        <v>16</v>
      </c>
      <c r="C1085" s="2" t="s">
        <v>8349</v>
      </c>
      <c r="D1085" t="s">
        <v>7898</v>
      </c>
      <c r="E1085" t="s">
        <v>7897</v>
      </c>
      <c r="F1085" s="21">
        <v>1</v>
      </c>
      <c r="H1085" t="s">
        <v>7902</v>
      </c>
      <c r="I1085">
        <v>1</v>
      </c>
      <c r="K1085" t="s">
        <v>109</v>
      </c>
      <c r="M1085" t="str">
        <f>"10943412"</f>
        <v>10943412</v>
      </c>
      <c r="N1085" s="2" t="str">
        <f>"20190115"</f>
        <v>20190115</v>
      </c>
      <c r="O1085">
        <v>46</v>
      </c>
      <c r="P1085">
        <v>1</v>
      </c>
      <c r="Q1085">
        <v>80</v>
      </c>
      <c r="R1085">
        <v>19</v>
      </c>
      <c r="S1085" t="s">
        <v>7899</v>
      </c>
      <c r="T1085" t="s">
        <v>7900</v>
      </c>
      <c r="U1085" t="s">
        <v>42</v>
      </c>
      <c r="V1085" t="s">
        <v>7901</v>
      </c>
      <c r="X1085" t="s">
        <v>7903</v>
      </c>
      <c r="Y1085" t="b">
        <f t="shared" si="16"/>
        <v>0</v>
      </c>
    </row>
    <row r="1086" spans="1:25">
      <c r="A1086" s="11" t="s">
        <v>9939</v>
      </c>
      <c r="B1086" t="s">
        <v>16</v>
      </c>
      <c r="C1086" s="2" t="s">
        <v>8340</v>
      </c>
      <c r="D1086" t="s">
        <v>7905</v>
      </c>
      <c r="E1086" t="s">
        <v>7904</v>
      </c>
      <c r="F1086" s="21">
        <v>1</v>
      </c>
      <c r="H1086" t="s">
        <v>7909</v>
      </c>
      <c r="I1086">
        <v>1</v>
      </c>
      <c r="K1086" t="s">
        <v>2180</v>
      </c>
      <c r="M1086" t="str">
        <f>"09337954"</f>
        <v>09337954</v>
      </c>
      <c r="N1086" s="2" t="str">
        <f>"20180901"</f>
        <v>20180901</v>
      </c>
      <c r="O1086">
        <v>53</v>
      </c>
      <c r="P1086">
        <v>9</v>
      </c>
      <c r="Q1086">
        <v>931</v>
      </c>
      <c r="R1086">
        <v>11</v>
      </c>
      <c r="S1086" t="s">
        <v>7906</v>
      </c>
      <c r="T1086" t="s">
        <v>7907</v>
      </c>
      <c r="U1086" t="s">
        <v>42</v>
      </c>
      <c r="V1086" t="s">
        <v>7908</v>
      </c>
      <c r="X1086" t="s">
        <v>7910</v>
      </c>
      <c r="Y1086" t="b">
        <f t="shared" si="16"/>
        <v>0</v>
      </c>
    </row>
    <row r="1087" spans="1:25">
      <c r="A1087" s="11" t="s">
        <v>9939</v>
      </c>
      <c r="B1087" t="s">
        <v>16</v>
      </c>
      <c r="C1087" s="2" t="s">
        <v>8349</v>
      </c>
      <c r="D1087" t="s">
        <v>7912</v>
      </c>
      <c r="E1087" t="s">
        <v>7911</v>
      </c>
      <c r="F1087" s="21">
        <v>1</v>
      </c>
      <c r="H1087" t="s">
        <v>7916</v>
      </c>
      <c r="I1087">
        <v>1</v>
      </c>
      <c r="K1087" t="s">
        <v>810</v>
      </c>
      <c r="M1087" t="str">
        <f>"00462772"</f>
        <v>00462772</v>
      </c>
      <c r="N1087" s="2" t="str">
        <f>"20190301"</f>
        <v>20190301</v>
      </c>
      <c r="O1087">
        <v>49</v>
      </c>
      <c r="P1087">
        <v>2</v>
      </c>
      <c r="Q1087">
        <v>352</v>
      </c>
      <c r="R1087">
        <v>14</v>
      </c>
      <c r="S1087" t="s">
        <v>7913</v>
      </c>
      <c r="T1087" t="s">
        <v>7914</v>
      </c>
      <c r="U1087" t="s">
        <v>224</v>
      </c>
      <c r="V1087" t="s">
        <v>7915</v>
      </c>
      <c r="X1087" t="s">
        <v>7917</v>
      </c>
      <c r="Y1087" t="b">
        <f t="shared" si="16"/>
        <v>0</v>
      </c>
    </row>
    <row r="1088" spans="1:25">
      <c r="A1088" s="11" t="s">
        <v>9939</v>
      </c>
      <c r="B1088" t="s">
        <v>16</v>
      </c>
      <c r="C1088" s="2" t="s">
        <v>8339</v>
      </c>
      <c r="D1088" t="s">
        <v>7919</v>
      </c>
      <c r="E1088" t="s">
        <v>7918</v>
      </c>
      <c r="F1088" s="21">
        <v>1</v>
      </c>
      <c r="H1088" t="s">
        <v>7923</v>
      </c>
      <c r="I1088">
        <v>1</v>
      </c>
      <c r="K1088" t="s">
        <v>40</v>
      </c>
      <c r="M1088" t="str">
        <f>"15571912"</f>
        <v>15571912</v>
      </c>
      <c r="N1088" s="2" t="str">
        <f>"20151201"</f>
        <v>20151201</v>
      </c>
      <c r="O1088">
        <v>17</v>
      </c>
      <c r="P1088">
        <v>6</v>
      </c>
      <c r="Q1088">
        <v>1687</v>
      </c>
      <c r="R1088">
        <v>10</v>
      </c>
      <c r="S1088" t="s">
        <v>7920</v>
      </c>
      <c r="T1088" t="s">
        <v>7921</v>
      </c>
      <c r="U1088" t="s">
        <v>42</v>
      </c>
      <c r="V1088" t="s">
        <v>7922</v>
      </c>
      <c r="X1088" t="s">
        <v>7924</v>
      </c>
      <c r="Y1088" t="b">
        <f t="shared" si="16"/>
        <v>0</v>
      </c>
    </row>
    <row r="1089" spans="1:25">
      <c r="A1089" s="11" t="s">
        <v>9939</v>
      </c>
      <c r="B1089" t="s">
        <v>16</v>
      </c>
      <c r="C1089" s="2" t="s">
        <v>8334</v>
      </c>
      <c r="D1089" t="s">
        <v>7926</v>
      </c>
      <c r="E1089" t="s">
        <v>7925</v>
      </c>
      <c r="F1089" s="21">
        <v>1</v>
      </c>
      <c r="H1089" t="s">
        <v>7930</v>
      </c>
      <c r="I1089">
        <v>1</v>
      </c>
      <c r="K1089" t="s">
        <v>132</v>
      </c>
      <c r="M1089" t="str">
        <f>"01471767"</f>
        <v>01471767</v>
      </c>
      <c r="N1089" s="2" t="str">
        <f>"20140501"</f>
        <v>20140501</v>
      </c>
      <c r="O1089">
        <v>40</v>
      </c>
      <c r="Q1089">
        <v>76</v>
      </c>
      <c r="R1089">
        <v>11</v>
      </c>
      <c r="S1089" t="s">
        <v>7927</v>
      </c>
      <c r="T1089" t="s">
        <v>7928</v>
      </c>
      <c r="U1089" t="s">
        <v>34</v>
      </c>
      <c r="V1089" t="s">
        <v>7929</v>
      </c>
      <c r="X1089" t="s">
        <v>7931</v>
      </c>
      <c r="Y1089" t="b">
        <f t="shared" si="16"/>
        <v>0</v>
      </c>
    </row>
    <row r="1090" spans="1:25" hidden="1">
      <c r="A1090" s="11" t="s">
        <v>9939</v>
      </c>
      <c r="B1090" t="s">
        <v>16</v>
      </c>
      <c r="C1090" s="2" t="s">
        <v>8349</v>
      </c>
      <c r="D1090" t="s">
        <v>7933</v>
      </c>
      <c r="E1090" t="s">
        <v>7932</v>
      </c>
      <c r="F1090" s="20">
        <v>0</v>
      </c>
      <c r="G1090" t="s">
        <v>9178</v>
      </c>
      <c r="H1090" t="s">
        <v>7937</v>
      </c>
      <c r="K1090" t="s">
        <v>2460</v>
      </c>
      <c r="M1090" t="str">
        <f>"00121649"</f>
        <v>00121649</v>
      </c>
      <c r="N1090" s="2" t="str">
        <f>"20190401"</f>
        <v>20190401</v>
      </c>
      <c r="O1090">
        <v>55</v>
      </c>
      <c r="P1090">
        <v>4</v>
      </c>
      <c r="Q1090">
        <v>846</v>
      </c>
      <c r="R1090">
        <v>9</v>
      </c>
      <c r="S1090" t="s">
        <v>7934</v>
      </c>
      <c r="T1090" t="s">
        <v>7935</v>
      </c>
      <c r="U1090" t="s">
        <v>59</v>
      </c>
      <c r="V1090" t="s">
        <v>7936</v>
      </c>
      <c r="X1090" t="s">
        <v>7938</v>
      </c>
      <c r="Y1090" t="b">
        <f t="shared" ref="Y1090:Y1146" si="17">COUNTIF(X:X, X1090)&gt;1</f>
        <v>0</v>
      </c>
    </row>
    <row r="1091" spans="1:25" hidden="1">
      <c r="A1091" s="11" t="s">
        <v>9939</v>
      </c>
      <c r="B1091" t="s">
        <v>16</v>
      </c>
      <c r="C1091" s="2" t="s">
        <v>8336</v>
      </c>
      <c r="D1091" t="s">
        <v>7940</v>
      </c>
      <c r="E1091" t="s">
        <v>7939</v>
      </c>
      <c r="H1091" t="s">
        <v>7944</v>
      </c>
      <c r="K1091" t="s">
        <v>140</v>
      </c>
      <c r="M1091" t="str">
        <f>"02779536"</f>
        <v>02779536</v>
      </c>
      <c r="N1091" s="2" t="str">
        <f>"20070701"</f>
        <v>20070701</v>
      </c>
      <c r="O1091">
        <v>65</v>
      </c>
      <c r="P1091">
        <v>2</v>
      </c>
      <c r="Q1091">
        <v>214</v>
      </c>
      <c r="R1091">
        <v>17</v>
      </c>
      <c r="S1091" t="s">
        <v>7941</v>
      </c>
      <c r="T1091" t="s">
        <v>7942</v>
      </c>
      <c r="U1091" t="s">
        <v>34</v>
      </c>
      <c r="V1091" t="s">
        <v>7943</v>
      </c>
      <c r="X1091" t="s">
        <v>7945</v>
      </c>
      <c r="Y1091" t="b">
        <f t="shared" si="17"/>
        <v>1</v>
      </c>
    </row>
    <row r="1092" spans="1:25">
      <c r="A1092" s="11" t="s">
        <v>9939</v>
      </c>
      <c r="B1092" t="s">
        <v>16</v>
      </c>
      <c r="C1092" s="2" t="s">
        <v>8342</v>
      </c>
      <c r="D1092" t="s">
        <v>7947</v>
      </c>
      <c r="E1092" t="s">
        <v>7946</v>
      </c>
      <c r="F1092" s="21">
        <v>1</v>
      </c>
      <c r="H1092" t="s">
        <v>7951</v>
      </c>
      <c r="I1092">
        <v>1</v>
      </c>
      <c r="K1092" t="s">
        <v>6905</v>
      </c>
      <c r="M1092" t="str">
        <f>"00917435"</f>
        <v>00917435</v>
      </c>
      <c r="N1092" s="2" t="str">
        <f>"20121201"</f>
        <v>20121201</v>
      </c>
      <c r="O1092">
        <v>55</v>
      </c>
      <c r="P1092">
        <v>6</v>
      </c>
      <c r="Q1092">
        <v>597</v>
      </c>
      <c r="R1092">
        <v>6</v>
      </c>
      <c r="S1092" t="s">
        <v>7948</v>
      </c>
      <c r="T1092" t="s">
        <v>7949</v>
      </c>
      <c r="U1092" t="s">
        <v>34</v>
      </c>
      <c r="V1092" t="s">
        <v>7950</v>
      </c>
      <c r="X1092" t="s">
        <v>7952</v>
      </c>
      <c r="Y1092" t="b">
        <f t="shared" si="17"/>
        <v>0</v>
      </c>
    </row>
    <row r="1093" spans="1:25">
      <c r="A1093" s="11" t="s">
        <v>9939</v>
      </c>
      <c r="B1093" t="s">
        <v>16</v>
      </c>
      <c r="C1093" s="2" t="s">
        <v>8340</v>
      </c>
      <c r="D1093" t="s">
        <v>7954</v>
      </c>
      <c r="E1093" t="s">
        <v>7953</v>
      </c>
      <c r="F1093" s="21">
        <v>1</v>
      </c>
      <c r="H1093" t="s">
        <v>7958</v>
      </c>
      <c r="I1093">
        <v>1</v>
      </c>
      <c r="K1093" t="s">
        <v>3736</v>
      </c>
      <c r="M1093" t="str">
        <f>"00945145"</f>
        <v>00945145</v>
      </c>
      <c r="N1093" s="2" t="str">
        <f>"20180601"</f>
        <v>20180601</v>
      </c>
      <c r="O1093">
        <v>43</v>
      </c>
      <c r="P1093">
        <v>3</v>
      </c>
      <c r="Q1093">
        <v>543</v>
      </c>
      <c r="R1093">
        <v>9</v>
      </c>
      <c r="S1093" t="s">
        <v>7955</v>
      </c>
      <c r="T1093" t="s">
        <v>7956</v>
      </c>
      <c r="U1093" t="s">
        <v>42</v>
      </c>
      <c r="V1093" t="s">
        <v>7957</v>
      </c>
      <c r="X1093" t="s">
        <v>7959</v>
      </c>
      <c r="Y1093" t="b">
        <f t="shared" si="17"/>
        <v>0</v>
      </c>
    </row>
    <row r="1094" spans="1:25">
      <c r="A1094" s="11" t="s">
        <v>9939</v>
      </c>
      <c r="B1094" t="s">
        <v>69</v>
      </c>
      <c r="C1094" s="2" t="s">
        <v>8346</v>
      </c>
      <c r="D1094" t="s">
        <v>7961</v>
      </c>
      <c r="E1094" t="s">
        <v>7960</v>
      </c>
      <c r="F1094" s="21">
        <v>1</v>
      </c>
      <c r="H1094" t="s">
        <v>7964</v>
      </c>
      <c r="I1094">
        <v>1</v>
      </c>
      <c r="K1094" t="s">
        <v>65</v>
      </c>
      <c r="L1094" t="str">
        <f>"9781124465241"</f>
        <v>9781124465241</v>
      </c>
      <c r="M1094" t="str">
        <f>"04194209"</f>
        <v>04194209</v>
      </c>
      <c r="N1094" s="2" t="str">
        <f>"20110101"</f>
        <v>20110101</v>
      </c>
      <c r="O1094">
        <v>72</v>
      </c>
      <c r="P1094" t="s">
        <v>1110</v>
      </c>
      <c r="Q1094">
        <v>1447</v>
      </c>
      <c r="R1094">
        <v>1</v>
      </c>
      <c r="S1094" t="s">
        <v>7962</v>
      </c>
      <c r="U1094" t="s">
        <v>68</v>
      </c>
      <c r="V1094" t="s">
        <v>7963</v>
      </c>
      <c r="X1094" t="s">
        <v>7965</v>
      </c>
      <c r="Y1094" t="b">
        <f t="shared" si="17"/>
        <v>0</v>
      </c>
    </row>
    <row r="1095" spans="1:25" hidden="1">
      <c r="A1095" s="11" t="s">
        <v>9939</v>
      </c>
      <c r="B1095" t="s">
        <v>16</v>
      </c>
      <c r="C1095" s="2" t="s">
        <v>8334</v>
      </c>
      <c r="D1095" t="s">
        <v>7967</v>
      </c>
      <c r="E1095" t="s">
        <v>7966</v>
      </c>
      <c r="H1095" t="s">
        <v>7971</v>
      </c>
      <c r="K1095" t="s">
        <v>93</v>
      </c>
      <c r="M1095" t="str">
        <f>"00207640"</f>
        <v>00207640</v>
      </c>
      <c r="N1095" s="2" t="str">
        <f>"20140501"</f>
        <v>20140501</v>
      </c>
      <c r="O1095">
        <v>60</v>
      </c>
      <c r="P1095">
        <v>3</v>
      </c>
      <c r="Q1095">
        <v>243</v>
      </c>
      <c r="R1095">
        <v>11</v>
      </c>
      <c r="S1095" t="s">
        <v>7968</v>
      </c>
      <c r="T1095" t="s">
        <v>7969</v>
      </c>
      <c r="U1095" t="s">
        <v>15</v>
      </c>
      <c r="V1095" t="s">
        <v>7970</v>
      </c>
      <c r="X1095" t="s">
        <v>7972</v>
      </c>
      <c r="Y1095" t="b">
        <f t="shared" si="17"/>
        <v>1</v>
      </c>
    </row>
    <row r="1096" spans="1:25">
      <c r="A1096" s="11" t="s">
        <v>9939</v>
      </c>
      <c r="B1096" t="s">
        <v>69</v>
      </c>
      <c r="C1096" s="2" t="s">
        <v>8341</v>
      </c>
      <c r="D1096" t="s">
        <v>7974</v>
      </c>
      <c r="E1096" t="s">
        <v>7973</v>
      </c>
      <c r="F1096" s="21">
        <v>1</v>
      </c>
      <c r="H1096" t="s">
        <v>7977</v>
      </c>
      <c r="I1096">
        <v>1</v>
      </c>
      <c r="K1096" t="s">
        <v>65</v>
      </c>
      <c r="L1096" t="str">
        <f>"9780549886174"</f>
        <v>9780549886174</v>
      </c>
      <c r="M1096" t="str">
        <f>"04194209"</f>
        <v>04194209</v>
      </c>
      <c r="N1096" s="2" t="str">
        <f>"20090101"</f>
        <v>20090101</v>
      </c>
      <c r="O1096">
        <v>69</v>
      </c>
      <c r="P1096" t="s">
        <v>688</v>
      </c>
      <c r="Q1096">
        <v>4521</v>
      </c>
      <c r="R1096">
        <v>1</v>
      </c>
      <c r="S1096" t="s">
        <v>7975</v>
      </c>
      <c r="U1096" t="s">
        <v>68</v>
      </c>
      <c r="V1096" t="s">
        <v>7976</v>
      </c>
      <c r="X1096" t="s">
        <v>7978</v>
      </c>
      <c r="Y1096" t="b">
        <f t="shared" si="17"/>
        <v>0</v>
      </c>
    </row>
    <row r="1097" spans="1:25">
      <c r="A1097" s="11" t="s">
        <v>9939</v>
      </c>
      <c r="B1097" t="s">
        <v>69</v>
      </c>
      <c r="C1097" s="2" t="s">
        <v>8339</v>
      </c>
      <c r="D1097" t="s">
        <v>7980</v>
      </c>
      <c r="E1097" t="s">
        <v>7979</v>
      </c>
      <c r="F1097" s="21">
        <v>1</v>
      </c>
      <c r="H1097" t="s">
        <v>7983</v>
      </c>
      <c r="I1097">
        <v>1</v>
      </c>
      <c r="K1097" t="s">
        <v>65</v>
      </c>
      <c r="L1097" t="str">
        <f>"9781321211443"</f>
        <v>9781321211443</v>
      </c>
      <c r="M1097" t="str">
        <f>"04194209"</f>
        <v>04194209</v>
      </c>
      <c r="N1097" s="2" t="str">
        <f>"20150101"</f>
        <v>20150101</v>
      </c>
      <c r="O1097">
        <v>75</v>
      </c>
      <c r="P1097" t="s">
        <v>1175</v>
      </c>
      <c r="S1097" t="s">
        <v>7981</v>
      </c>
      <c r="U1097" t="s">
        <v>68</v>
      </c>
      <c r="V1097" t="s">
        <v>7982</v>
      </c>
      <c r="X1097" t="s">
        <v>7984</v>
      </c>
      <c r="Y1097" t="b">
        <f t="shared" si="17"/>
        <v>0</v>
      </c>
    </row>
    <row r="1098" spans="1:25" hidden="1">
      <c r="A1098" s="11" t="s">
        <v>9939</v>
      </c>
      <c r="B1098" t="s">
        <v>16</v>
      </c>
      <c r="C1098" s="2" t="s">
        <v>8343</v>
      </c>
      <c r="D1098" t="s">
        <v>7986</v>
      </c>
      <c r="E1098" t="s">
        <v>7985</v>
      </c>
      <c r="H1098" t="s">
        <v>7990</v>
      </c>
      <c r="K1098" t="s">
        <v>252</v>
      </c>
      <c r="M1098" t="str">
        <f>"00220221"</f>
        <v>00220221</v>
      </c>
      <c r="N1098" s="2" t="str">
        <f>"20170701"</f>
        <v>20170701</v>
      </c>
      <c r="O1098">
        <v>48</v>
      </c>
      <c r="P1098">
        <v>6</v>
      </c>
      <c r="Q1098">
        <v>854</v>
      </c>
      <c r="R1098">
        <v>20</v>
      </c>
      <c r="S1098" t="s">
        <v>7987</v>
      </c>
      <c r="T1098" t="s">
        <v>7988</v>
      </c>
      <c r="U1098" t="s">
        <v>15</v>
      </c>
      <c r="V1098" t="s">
        <v>7989</v>
      </c>
      <c r="X1098" t="s">
        <v>7991</v>
      </c>
      <c r="Y1098" t="b">
        <f t="shared" si="17"/>
        <v>1</v>
      </c>
    </row>
    <row r="1099" spans="1:25" hidden="1">
      <c r="A1099" s="11" t="s">
        <v>9939</v>
      </c>
      <c r="B1099" t="s">
        <v>16</v>
      </c>
      <c r="C1099" s="2" t="s">
        <v>8334</v>
      </c>
      <c r="D1099" t="s">
        <v>7993</v>
      </c>
      <c r="E1099" t="s">
        <v>7992</v>
      </c>
      <c r="H1099" t="s">
        <v>7997</v>
      </c>
      <c r="K1099" t="s">
        <v>132</v>
      </c>
      <c r="M1099" t="str">
        <f>"01471767"</f>
        <v>01471767</v>
      </c>
      <c r="N1099" s="2" t="str">
        <f>"20140701"</f>
        <v>20140701</v>
      </c>
      <c r="O1099">
        <v>41</v>
      </c>
      <c r="Q1099">
        <v>91</v>
      </c>
      <c r="R1099">
        <v>11</v>
      </c>
      <c r="S1099" t="s">
        <v>7994</v>
      </c>
      <c r="T1099" t="s">
        <v>7995</v>
      </c>
      <c r="U1099" t="s">
        <v>34</v>
      </c>
      <c r="V1099" t="s">
        <v>7996</v>
      </c>
      <c r="X1099" t="s">
        <v>7998</v>
      </c>
      <c r="Y1099" t="b">
        <f t="shared" si="17"/>
        <v>1</v>
      </c>
    </row>
    <row r="1100" spans="1:25" hidden="1">
      <c r="A1100" s="11" t="s">
        <v>9939</v>
      </c>
      <c r="B1100" t="s">
        <v>16</v>
      </c>
      <c r="C1100" s="2" t="s">
        <v>8334</v>
      </c>
      <c r="D1100" t="s">
        <v>8000</v>
      </c>
      <c r="E1100" t="s">
        <v>7999</v>
      </c>
      <c r="H1100" t="s">
        <v>8004</v>
      </c>
      <c r="K1100" t="s">
        <v>1774</v>
      </c>
      <c r="M1100" t="str">
        <f>"0049089X"</f>
        <v>0049089X</v>
      </c>
      <c r="N1100" s="2" t="str">
        <f>"20140901"</f>
        <v>20140901</v>
      </c>
      <c r="O1100">
        <v>47</v>
      </c>
      <c r="Q1100">
        <v>61</v>
      </c>
      <c r="R1100">
        <v>18</v>
      </c>
      <c r="S1100" t="s">
        <v>8001</v>
      </c>
      <c r="T1100" t="s">
        <v>8002</v>
      </c>
      <c r="U1100" t="s">
        <v>34</v>
      </c>
      <c r="V1100" t="s">
        <v>8003</v>
      </c>
      <c r="X1100" t="s">
        <v>8005</v>
      </c>
      <c r="Y1100" t="b">
        <f t="shared" si="17"/>
        <v>1</v>
      </c>
    </row>
    <row r="1101" spans="1:25">
      <c r="A1101" s="11" t="s">
        <v>9939</v>
      </c>
      <c r="B1101" t="s">
        <v>16</v>
      </c>
      <c r="C1101" s="2" t="s">
        <v>8343</v>
      </c>
      <c r="D1101" t="s">
        <v>8007</v>
      </c>
      <c r="E1101" t="s">
        <v>8006</v>
      </c>
      <c r="F1101" s="21">
        <v>1</v>
      </c>
      <c r="H1101" t="s">
        <v>8011</v>
      </c>
      <c r="I1101">
        <v>0</v>
      </c>
      <c r="J1101" t="s">
        <v>9245</v>
      </c>
      <c r="K1101" t="s">
        <v>140</v>
      </c>
      <c r="M1101" t="str">
        <f>"02779536"</f>
        <v>02779536</v>
      </c>
      <c r="N1101" s="2" t="str">
        <f>"20171201"</f>
        <v>20171201</v>
      </c>
      <c r="O1101">
        <v>195</v>
      </c>
      <c r="Q1101">
        <v>105</v>
      </c>
      <c r="R1101">
        <v>10</v>
      </c>
      <c r="S1101" t="s">
        <v>8008</v>
      </c>
      <c r="T1101" t="s">
        <v>8009</v>
      </c>
      <c r="U1101" t="s">
        <v>34</v>
      </c>
      <c r="V1101" t="s">
        <v>8010</v>
      </c>
      <c r="X1101" t="s">
        <v>8012</v>
      </c>
      <c r="Y1101" t="b">
        <f t="shared" si="17"/>
        <v>0</v>
      </c>
    </row>
    <row r="1102" spans="1:25">
      <c r="A1102" s="11" t="s">
        <v>9939</v>
      </c>
      <c r="B1102" t="s">
        <v>16</v>
      </c>
      <c r="C1102" s="2" t="s">
        <v>8336</v>
      </c>
      <c r="D1102" t="s">
        <v>8014</v>
      </c>
      <c r="E1102" t="s">
        <v>8013</v>
      </c>
      <c r="F1102" s="21">
        <v>1</v>
      </c>
      <c r="H1102" t="s">
        <v>8018</v>
      </c>
      <c r="I1102">
        <v>1</v>
      </c>
      <c r="K1102" t="s">
        <v>5130</v>
      </c>
      <c r="M1102" t="str">
        <f>"0144686X"</f>
        <v>0144686X</v>
      </c>
      <c r="N1102" s="2" t="str">
        <f>"20070701"</f>
        <v>20070701</v>
      </c>
      <c r="O1102">
        <v>27</v>
      </c>
      <c r="P1102">
        <v>4</v>
      </c>
      <c r="Q1102">
        <v>489</v>
      </c>
      <c r="R1102">
        <v>22</v>
      </c>
      <c r="S1102" t="s">
        <v>8015</v>
      </c>
      <c r="T1102" t="s">
        <v>8016</v>
      </c>
      <c r="U1102" t="s">
        <v>333</v>
      </c>
      <c r="V1102" t="s">
        <v>8017</v>
      </c>
      <c r="X1102" t="s">
        <v>8019</v>
      </c>
      <c r="Y1102" t="b">
        <f t="shared" si="17"/>
        <v>0</v>
      </c>
    </row>
    <row r="1103" spans="1:25" hidden="1">
      <c r="A1103" s="11" t="s">
        <v>9939</v>
      </c>
      <c r="B1103" t="s">
        <v>16</v>
      </c>
      <c r="C1103" s="2" t="s">
        <v>8341</v>
      </c>
      <c r="D1103" t="s">
        <v>8021</v>
      </c>
      <c r="E1103" t="s">
        <v>8020</v>
      </c>
      <c r="F1103" s="20">
        <v>0</v>
      </c>
      <c r="G1103" t="s">
        <v>9178</v>
      </c>
      <c r="H1103" t="s">
        <v>8025</v>
      </c>
      <c r="K1103" t="s">
        <v>1751</v>
      </c>
      <c r="M1103" t="str">
        <f>"10907165"</f>
        <v>10907165</v>
      </c>
      <c r="N1103" s="2" t="str">
        <f>"20090801"</f>
        <v>20090801</v>
      </c>
      <c r="O1103">
        <v>13</v>
      </c>
      <c r="P1103">
        <v>4</v>
      </c>
      <c r="Q1103">
        <v>700</v>
      </c>
      <c r="R1103">
        <v>16</v>
      </c>
      <c r="S1103" t="s">
        <v>8022</v>
      </c>
      <c r="T1103" t="s">
        <v>8023</v>
      </c>
      <c r="U1103" t="s">
        <v>42</v>
      </c>
      <c r="V1103" t="s">
        <v>8024</v>
      </c>
      <c r="X1103" t="s">
        <v>8026</v>
      </c>
      <c r="Y1103" t="b">
        <f t="shared" si="17"/>
        <v>0</v>
      </c>
    </row>
    <row r="1104" spans="1:25">
      <c r="A1104" s="11" t="s">
        <v>9939</v>
      </c>
      <c r="B1104" t="s">
        <v>16</v>
      </c>
      <c r="C1104" s="2" t="s">
        <v>8339</v>
      </c>
      <c r="D1104" t="s">
        <v>8028</v>
      </c>
      <c r="E1104" t="s">
        <v>8027</v>
      </c>
      <c r="F1104" s="22">
        <v>1</v>
      </c>
      <c r="H1104" t="s">
        <v>8032</v>
      </c>
      <c r="I1104">
        <v>1</v>
      </c>
      <c r="K1104" t="s">
        <v>221</v>
      </c>
      <c r="M1104" t="str">
        <f>"00904392"</f>
        <v>00904392</v>
      </c>
      <c r="N1104" s="2" t="str">
        <f>"20150701"</f>
        <v>20150701</v>
      </c>
      <c r="O1104">
        <v>43</v>
      </c>
      <c r="P1104">
        <v>5</v>
      </c>
      <c r="Q1104">
        <v>628</v>
      </c>
      <c r="R1104">
        <v>21</v>
      </c>
      <c r="S1104" t="s">
        <v>8029</v>
      </c>
      <c r="T1104" t="s">
        <v>8030</v>
      </c>
      <c r="U1104" t="s">
        <v>224</v>
      </c>
      <c r="V1104" t="s">
        <v>8031</v>
      </c>
      <c r="X1104" t="s">
        <v>8033</v>
      </c>
      <c r="Y1104" t="b">
        <f t="shared" si="17"/>
        <v>0</v>
      </c>
    </row>
    <row r="1105" spans="1:25" hidden="1">
      <c r="A1105" s="11" t="s">
        <v>9939</v>
      </c>
      <c r="B1105" t="s">
        <v>16</v>
      </c>
      <c r="C1105" s="2" t="s">
        <v>8362</v>
      </c>
      <c r="D1105" t="s">
        <v>8035</v>
      </c>
      <c r="E1105" t="s">
        <v>8034</v>
      </c>
      <c r="H1105" t="s">
        <v>8041</v>
      </c>
      <c r="K1105" t="s">
        <v>8036</v>
      </c>
      <c r="M1105" t="str">
        <f>"00223182"</f>
        <v>00223182</v>
      </c>
      <c r="N1105" s="2" t="str">
        <f>"20011101"</f>
        <v>20011101</v>
      </c>
      <c r="O1105">
        <v>33</v>
      </c>
      <c r="P1105">
        <v>6</v>
      </c>
      <c r="Q1105">
        <v>322</v>
      </c>
      <c r="R1105">
        <v>10</v>
      </c>
      <c r="S1105" t="s">
        <v>8037</v>
      </c>
      <c r="T1105" t="s">
        <v>8038</v>
      </c>
      <c r="U1105" t="s">
        <v>8039</v>
      </c>
      <c r="V1105" t="s">
        <v>8040</v>
      </c>
      <c r="X1105" t="s">
        <v>8042</v>
      </c>
      <c r="Y1105" t="b">
        <f t="shared" si="17"/>
        <v>1</v>
      </c>
    </row>
    <row r="1106" spans="1:25" hidden="1">
      <c r="A1106" s="11" t="s">
        <v>9939</v>
      </c>
      <c r="B1106" t="s">
        <v>16</v>
      </c>
      <c r="C1106" s="2" t="s">
        <v>8337</v>
      </c>
      <c r="D1106" t="s">
        <v>8044</v>
      </c>
      <c r="E1106" t="s">
        <v>8043</v>
      </c>
      <c r="F1106" s="20">
        <v>0</v>
      </c>
      <c r="G1106" t="s">
        <v>9178</v>
      </c>
      <c r="H1106" t="s">
        <v>8049</v>
      </c>
      <c r="K1106" t="s">
        <v>8045</v>
      </c>
      <c r="M1106" t="str">
        <f>"14410745"</f>
        <v>14410745</v>
      </c>
      <c r="N1106" s="2" t="str">
        <f>"20130601"</f>
        <v>20130601</v>
      </c>
      <c r="O1106">
        <v>15</v>
      </c>
      <c r="P1106">
        <v>2</v>
      </c>
      <c r="Q1106">
        <v>220</v>
      </c>
      <c r="R1106">
        <v>9</v>
      </c>
      <c r="S1106" t="s">
        <v>8046</v>
      </c>
      <c r="T1106" t="s">
        <v>8047</v>
      </c>
      <c r="U1106" t="s">
        <v>730</v>
      </c>
      <c r="V1106" t="s">
        <v>8048</v>
      </c>
      <c r="X1106" t="s">
        <v>8050</v>
      </c>
      <c r="Y1106" t="b">
        <f t="shared" si="17"/>
        <v>0</v>
      </c>
    </row>
    <row r="1107" spans="1:25" hidden="1">
      <c r="A1107" s="11" t="s">
        <v>9939</v>
      </c>
      <c r="B1107" t="s">
        <v>16</v>
      </c>
      <c r="C1107" s="2" t="s">
        <v>8349</v>
      </c>
      <c r="D1107" t="s">
        <v>8052</v>
      </c>
      <c r="E1107" t="s">
        <v>8051</v>
      </c>
      <c r="F1107" s="20">
        <v>0</v>
      </c>
      <c r="G1107" t="s">
        <v>9237</v>
      </c>
      <c r="H1107" t="s">
        <v>8058</v>
      </c>
      <c r="K1107" t="s">
        <v>8053</v>
      </c>
      <c r="M1107" t="str">
        <f>"14394456"</f>
        <v>14394456</v>
      </c>
      <c r="N1107" s="2" t="str">
        <f>"20190802"</f>
        <v>20190802</v>
      </c>
      <c r="O1107">
        <v>21</v>
      </c>
      <c r="P1107">
        <v>8</v>
      </c>
      <c r="S1107" t="s">
        <v>8054</v>
      </c>
      <c r="T1107" t="s">
        <v>8055</v>
      </c>
      <c r="U1107" t="s">
        <v>8056</v>
      </c>
      <c r="V1107" t="s">
        <v>8057</v>
      </c>
      <c r="X1107" t="s">
        <v>8059</v>
      </c>
      <c r="Y1107" t="b">
        <f t="shared" si="17"/>
        <v>0</v>
      </c>
    </row>
    <row r="1108" spans="1:25" hidden="1">
      <c r="A1108" s="11" t="s">
        <v>9939</v>
      </c>
      <c r="B1108" t="s">
        <v>16</v>
      </c>
      <c r="C1108" s="2" t="s">
        <v>8342</v>
      </c>
      <c r="D1108" t="s">
        <v>8061</v>
      </c>
      <c r="E1108" t="s">
        <v>8060</v>
      </c>
      <c r="H1108" t="s">
        <v>8065</v>
      </c>
      <c r="K1108" t="s">
        <v>48</v>
      </c>
      <c r="M1108" t="str">
        <f>"07399863"</f>
        <v>07399863</v>
      </c>
      <c r="N1108" s="2" t="str">
        <f>"20120501"</f>
        <v>20120501</v>
      </c>
      <c r="O1108">
        <v>34</v>
      </c>
      <c r="P1108">
        <v>2</v>
      </c>
      <c r="Q1108">
        <v>208</v>
      </c>
      <c r="R1108">
        <v>24</v>
      </c>
      <c r="S1108" t="s">
        <v>8062</v>
      </c>
      <c r="T1108" t="s">
        <v>8063</v>
      </c>
      <c r="U1108" t="s">
        <v>15</v>
      </c>
      <c r="V1108" t="s">
        <v>8064</v>
      </c>
      <c r="X1108" t="s">
        <v>8066</v>
      </c>
      <c r="Y1108" t="b">
        <f t="shared" si="17"/>
        <v>1</v>
      </c>
    </row>
    <row r="1109" spans="1:25" hidden="1">
      <c r="A1109" s="11" t="s">
        <v>9939</v>
      </c>
      <c r="B1109" t="s">
        <v>16</v>
      </c>
      <c r="C1109" s="2" t="s">
        <v>8353</v>
      </c>
      <c r="D1109" t="s">
        <v>8068</v>
      </c>
      <c r="E1109" t="s">
        <v>8067</v>
      </c>
      <c r="H1109" t="s">
        <v>8074</v>
      </c>
      <c r="K1109" t="s">
        <v>8069</v>
      </c>
      <c r="M1109" t="str">
        <f>"22376089"</f>
        <v>22376089</v>
      </c>
      <c r="N1109" s="2" t="str">
        <f>"20160701"</f>
        <v>20160701</v>
      </c>
      <c r="O1109">
        <v>38</v>
      </c>
      <c r="P1109">
        <v>3</v>
      </c>
      <c r="Q1109">
        <v>156</v>
      </c>
      <c r="R1109">
        <v>8</v>
      </c>
      <c r="S1109" t="s">
        <v>8070</v>
      </c>
      <c r="T1109" t="s">
        <v>8071</v>
      </c>
      <c r="U1109" t="s">
        <v>8072</v>
      </c>
      <c r="V1109" t="s">
        <v>8073</v>
      </c>
      <c r="X1109" t="s">
        <v>8075</v>
      </c>
      <c r="Y1109" t="b">
        <f t="shared" si="17"/>
        <v>1</v>
      </c>
    </row>
    <row r="1110" spans="1:25">
      <c r="A1110" s="11" t="s">
        <v>9939</v>
      </c>
      <c r="B1110" t="s">
        <v>16</v>
      </c>
      <c r="C1110" s="2" t="s">
        <v>8341</v>
      </c>
      <c r="D1110" t="s">
        <v>8077</v>
      </c>
      <c r="E1110" t="s">
        <v>8076</v>
      </c>
      <c r="F1110" s="21">
        <v>1</v>
      </c>
      <c r="H1110" t="s">
        <v>8081</v>
      </c>
      <c r="I1110">
        <v>1</v>
      </c>
      <c r="K1110" t="s">
        <v>970</v>
      </c>
      <c r="M1110" t="str">
        <f>"10999809"</f>
        <v>10999809</v>
      </c>
      <c r="N1110" s="2" t="str">
        <f>"20090401"</f>
        <v>20090401</v>
      </c>
      <c r="O1110">
        <v>15</v>
      </c>
      <c r="P1110">
        <v>2</v>
      </c>
      <c r="Q1110">
        <v>191</v>
      </c>
      <c r="R1110">
        <v>11</v>
      </c>
      <c r="S1110" t="s">
        <v>8078</v>
      </c>
      <c r="T1110" t="s">
        <v>8079</v>
      </c>
      <c r="U1110" t="s">
        <v>183</v>
      </c>
      <c r="V1110" t="s">
        <v>8080</v>
      </c>
      <c r="X1110" t="s">
        <v>8082</v>
      </c>
      <c r="Y1110" t="b">
        <f t="shared" si="17"/>
        <v>0</v>
      </c>
    </row>
    <row r="1111" spans="1:25">
      <c r="A1111" s="11" t="s">
        <v>9939</v>
      </c>
      <c r="B1111" t="s">
        <v>16</v>
      </c>
      <c r="C1111" s="2" t="s">
        <v>8339</v>
      </c>
      <c r="D1111" t="s">
        <v>8084</v>
      </c>
      <c r="E1111" t="s">
        <v>8083</v>
      </c>
      <c r="F1111" s="21">
        <v>1</v>
      </c>
      <c r="H1111" t="s">
        <v>8088</v>
      </c>
      <c r="I1111">
        <v>1</v>
      </c>
      <c r="K1111" t="s">
        <v>40</v>
      </c>
      <c r="M1111" t="str">
        <f>"15571912"</f>
        <v>15571912</v>
      </c>
      <c r="N1111" s="2" t="str">
        <f>"20150201"</f>
        <v>20150201</v>
      </c>
      <c r="O1111">
        <v>17</v>
      </c>
      <c r="P1111">
        <v>1</v>
      </c>
      <c r="Q1111">
        <v>208</v>
      </c>
      <c r="R1111">
        <v>9</v>
      </c>
      <c r="S1111" t="s">
        <v>8085</v>
      </c>
      <c r="T1111" t="s">
        <v>8086</v>
      </c>
      <c r="U1111" t="s">
        <v>42</v>
      </c>
      <c r="V1111" t="s">
        <v>8087</v>
      </c>
      <c r="X1111" t="s">
        <v>8089</v>
      </c>
      <c r="Y1111" t="b">
        <f t="shared" si="17"/>
        <v>0</v>
      </c>
    </row>
    <row r="1112" spans="1:25" hidden="1">
      <c r="A1112" s="11" t="s">
        <v>9939</v>
      </c>
      <c r="B1112" t="s">
        <v>16</v>
      </c>
      <c r="C1112" s="2" t="s">
        <v>8334</v>
      </c>
      <c r="D1112" t="s">
        <v>8091</v>
      </c>
      <c r="E1112" t="s">
        <v>8090</v>
      </c>
      <c r="H1112" t="s">
        <v>8095</v>
      </c>
      <c r="K1112" t="s">
        <v>40</v>
      </c>
      <c r="M1112" t="str">
        <f>"15571912"</f>
        <v>15571912</v>
      </c>
      <c r="N1112" s="2" t="str">
        <f>"20141001"</f>
        <v>20141001</v>
      </c>
      <c r="O1112">
        <v>16</v>
      </c>
      <c r="P1112">
        <v>5</v>
      </c>
      <c r="Q1112">
        <v>889</v>
      </c>
      <c r="R1112">
        <v>9</v>
      </c>
      <c r="S1112" t="s">
        <v>8092</v>
      </c>
      <c r="T1112" t="s">
        <v>8093</v>
      </c>
      <c r="U1112" t="s">
        <v>42</v>
      </c>
      <c r="V1112" t="s">
        <v>8094</v>
      </c>
      <c r="X1112" t="s">
        <v>8096</v>
      </c>
      <c r="Y1112" t="b">
        <f t="shared" si="17"/>
        <v>1</v>
      </c>
    </row>
    <row r="1113" spans="1:25">
      <c r="A1113" s="11" t="s">
        <v>9939</v>
      </c>
      <c r="B1113" t="s">
        <v>16</v>
      </c>
      <c r="C1113" s="2" t="s">
        <v>8342</v>
      </c>
      <c r="D1113" t="s">
        <v>8098</v>
      </c>
      <c r="E1113" t="s">
        <v>8097</v>
      </c>
      <c r="F1113" s="21">
        <v>1</v>
      </c>
      <c r="H1113" t="s">
        <v>8102</v>
      </c>
      <c r="I1113">
        <v>1</v>
      </c>
      <c r="K1113" t="s">
        <v>2379</v>
      </c>
      <c r="M1113" t="str">
        <f>"00093920"</f>
        <v>00093920</v>
      </c>
      <c r="N1113" s="2" t="str">
        <f>"20120101"</f>
        <v>20120101</v>
      </c>
      <c r="O1113">
        <v>83</v>
      </c>
      <c r="P1113">
        <v>1</v>
      </c>
      <c r="Q1113">
        <v>322</v>
      </c>
      <c r="R1113">
        <v>15</v>
      </c>
      <c r="S1113" t="s">
        <v>8099</v>
      </c>
      <c r="T1113" t="s">
        <v>8100</v>
      </c>
      <c r="U1113" t="s">
        <v>730</v>
      </c>
      <c r="V1113" t="s">
        <v>8101</v>
      </c>
      <c r="X1113" t="s">
        <v>8103</v>
      </c>
      <c r="Y1113" t="b">
        <f t="shared" si="17"/>
        <v>0</v>
      </c>
    </row>
    <row r="1114" spans="1:25">
      <c r="A1114" s="11" t="s">
        <v>9939</v>
      </c>
      <c r="B1114" t="s">
        <v>16</v>
      </c>
      <c r="C1114" s="2" t="s">
        <v>8342</v>
      </c>
      <c r="D1114" t="s">
        <v>8105</v>
      </c>
      <c r="E1114" t="s">
        <v>8104</v>
      </c>
      <c r="F1114" s="21">
        <v>1</v>
      </c>
      <c r="H1114" t="s">
        <v>8109</v>
      </c>
      <c r="I1114">
        <v>1</v>
      </c>
      <c r="K1114" t="s">
        <v>5361</v>
      </c>
      <c r="M1114" t="str">
        <f>"10529284"</f>
        <v>10529284</v>
      </c>
      <c r="N1114" s="2" t="str">
        <f>"20120301"</f>
        <v>20120301</v>
      </c>
      <c r="O1114">
        <v>22</v>
      </c>
      <c r="P1114">
        <v>2</v>
      </c>
      <c r="Q1114">
        <v>95</v>
      </c>
      <c r="R1114">
        <v>16</v>
      </c>
      <c r="S1114" t="s">
        <v>8106</v>
      </c>
      <c r="T1114" t="s">
        <v>8107</v>
      </c>
      <c r="U1114" t="s">
        <v>224</v>
      </c>
      <c r="V1114" t="s">
        <v>8108</v>
      </c>
      <c r="X1114" t="s">
        <v>8110</v>
      </c>
      <c r="Y1114" t="b">
        <f t="shared" si="17"/>
        <v>0</v>
      </c>
    </row>
    <row r="1115" spans="1:25">
      <c r="A1115" s="11" t="s">
        <v>9939</v>
      </c>
      <c r="B1115" t="s">
        <v>16</v>
      </c>
      <c r="C1115" s="2" t="s">
        <v>8340</v>
      </c>
      <c r="D1115" t="s">
        <v>8112</v>
      </c>
      <c r="E1115" t="s">
        <v>8111</v>
      </c>
      <c r="F1115" s="21">
        <v>1</v>
      </c>
      <c r="H1115" t="s">
        <v>8116</v>
      </c>
      <c r="I1115">
        <v>1</v>
      </c>
      <c r="K1115" t="s">
        <v>370</v>
      </c>
      <c r="M1115" t="str">
        <f>"00207594"</f>
        <v>00207594</v>
      </c>
      <c r="N1115" s="2" t="str">
        <f>"20181001"</f>
        <v>20181001</v>
      </c>
      <c r="O1115">
        <v>53</v>
      </c>
      <c r="P1115" t="s">
        <v>5701</v>
      </c>
      <c r="Q1115">
        <v>71</v>
      </c>
      <c r="R1115">
        <v>10</v>
      </c>
      <c r="S1115" t="s">
        <v>8113</v>
      </c>
      <c r="T1115" t="s">
        <v>8114</v>
      </c>
      <c r="U1115" t="s">
        <v>730</v>
      </c>
      <c r="V1115" t="s">
        <v>8115</v>
      </c>
      <c r="X1115" t="s">
        <v>8117</v>
      </c>
      <c r="Y1115" t="b">
        <f t="shared" si="17"/>
        <v>0</v>
      </c>
    </row>
    <row r="1116" spans="1:25">
      <c r="A1116" s="11" t="s">
        <v>9939</v>
      </c>
      <c r="B1116" t="s">
        <v>16</v>
      </c>
      <c r="C1116" s="2" t="s">
        <v>8346</v>
      </c>
      <c r="D1116" t="s">
        <v>8119</v>
      </c>
      <c r="E1116" t="s">
        <v>8118</v>
      </c>
      <c r="F1116" s="21">
        <v>1</v>
      </c>
      <c r="H1116" t="s">
        <v>8123</v>
      </c>
      <c r="I1116">
        <v>1</v>
      </c>
      <c r="K1116" t="s">
        <v>132</v>
      </c>
      <c r="M1116" t="str">
        <f>"01471767"</f>
        <v>01471767</v>
      </c>
      <c r="N1116" s="2" t="str">
        <f>"20110901"</f>
        <v>20110901</v>
      </c>
      <c r="O1116">
        <v>35</v>
      </c>
      <c r="P1116">
        <v>5</v>
      </c>
      <c r="Q1116">
        <v>658</v>
      </c>
      <c r="R1116">
        <v>12</v>
      </c>
      <c r="S1116" t="s">
        <v>8120</v>
      </c>
      <c r="T1116" t="s">
        <v>8121</v>
      </c>
      <c r="U1116" t="s">
        <v>34</v>
      </c>
      <c r="V1116" t="s">
        <v>8122</v>
      </c>
      <c r="X1116" t="s">
        <v>8124</v>
      </c>
      <c r="Y1116" t="b">
        <f t="shared" si="17"/>
        <v>0</v>
      </c>
    </row>
    <row r="1117" spans="1:25" hidden="1">
      <c r="A1117" s="11" t="s">
        <v>9939</v>
      </c>
      <c r="B1117" t="s">
        <v>16</v>
      </c>
      <c r="C1117" s="2" t="s">
        <v>8337</v>
      </c>
      <c r="D1117" t="s">
        <v>8126</v>
      </c>
      <c r="E1117" t="s">
        <v>8125</v>
      </c>
      <c r="F1117" s="20">
        <v>0</v>
      </c>
      <c r="G1117" t="s">
        <v>9178</v>
      </c>
      <c r="H1117" t="s">
        <v>8131</v>
      </c>
      <c r="K1117" t="s">
        <v>8127</v>
      </c>
      <c r="M1117" t="str">
        <f>"13854046"</f>
        <v>13854046</v>
      </c>
      <c r="N1117" s="2" t="str">
        <f>"20130501"</f>
        <v>20130501</v>
      </c>
      <c r="O1117">
        <v>27</v>
      </c>
      <c r="P1117">
        <v>4</v>
      </c>
      <c r="Q1117">
        <v>681</v>
      </c>
      <c r="R1117">
        <v>12</v>
      </c>
      <c r="S1117" t="s">
        <v>8128</v>
      </c>
      <c r="T1117" t="s">
        <v>8129</v>
      </c>
      <c r="U1117" t="s">
        <v>87</v>
      </c>
      <c r="V1117" t="s">
        <v>8130</v>
      </c>
      <c r="X1117" t="s">
        <v>8132</v>
      </c>
      <c r="Y1117" t="b">
        <f t="shared" si="17"/>
        <v>0</v>
      </c>
    </row>
    <row r="1118" spans="1:25">
      <c r="A1118" s="11" t="s">
        <v>9939</v>
      </c>
      <c r="B1118" t="s">
        <v>16</v>
      </c>
      <c r="C1118" s="2" t="s">
        <v>8343</v>
      </c>
      <c r="D1118" t="s">
        <v>8134</v>
      </c>
      <c r="E1118" t="s">
        <v>8133</v>
      </c>
      <c r="F1118" s="21">
        <v>1</v>
      </c>
      <c r="H1118" t="s">
        <v>8138</v>
      </c>
      <c r="I1118">
        <v>0</v>
      </c>
      <c r="J1118" t="s">
        <v>9178</v>
      </c>
      <c r="K1118" t="s">
        <v>132</v>
      </c>
      <c r="M1118" t="str">
        <f>"01471767"</f>
        <v>01471767</v>
      </c>
      <c r="N1118" s="2" t="str">
        <f>"20170901"</f>
        <v>20170901</v>
      </c>
      <c r="O1118">
        <v>60</v>
      </c>
      <c r="Q1118">
        <v>145</v>
      </c>
      <c r="R1118">
        <v>15</v>
      </c>
      <c r="S1118" t="s">
        <v>8135</v>
      </c>
      <c r="T1118" t="s">
        <v>8136</v>
      </c>
      <c r="U1118" t="s">
        <v>34</v>
      </c>
      <c r="V1118" t="s">
        <v>8137</v>
      </c>
      <c r="X1118" t="s">
        <v>8139</v>
      </c>
      <c r="Y1118" t="b">
        <f t="shared" si="17"/>
        <v>0</v>
      </c>
    </row>
    <row r="1119" spans="1:25" hidden="1">
      <c r="A1119" s="11" t="s">
        <v>9939</v>
      </c>
      <c r="B1119" t="s">
        <v>16</v>
      </c>
      <c r="C1119" s="2" t="s">
        <v>8349</v>
      </c>
      <c r="D1119" t="s">
        <v>8141</v>
      </c>
      <c r="E1119" t="s">
        <v>8140</v>
      </c>
      <c r="F1119" s="20">
        <v>0</v>
      </c>
      <c r="G1119" t="s">
        <v>9249</v>
      </c>
      <c r="H1119" t="s">
        <v>8145</v>
      </c>
      <c r="K1119" t="s">
        <v>2634</v>
      </c>
      <c r="M1119" t="str">
        <f>"19326203"</f>
        <v>19326203</v>
      </c>
      <c r="N1119" s="2" t="str">
        <f>"20190927"</f>
        <v>20190927</v>
      </c>
      <c r="O1119">
        <v>14</v>
      </c>
      <c r="P1119">
        <v>9</v>
      </c>
      <c r="S1119" t="s">
        <v>8142</v>
      </c>
      <c r="T1119" t="s">
        <v>8143</v>
      </c>
      <c r="U1119" t="s">
        <v>2637</v>
      </c>
      <c r="V1119" t="s">
        <v>8144</v>
      </c>
      <c r="X1119" t="s">
        <v>8146</v>
      </c>
      <c r="Y1119" t="b">
        <f t="shared" si="17"/>
        <v>0</v>
      </c>
    </row>
    <row r="1120" spans="1:25" hidden="1">
      <c r="A1120" s="11" t="s">
        <v>9939</v>
      </c>
      <c r="B1120" t="s">
        <v>16</v>
      </c>
      <c r="C1120" s="2" t="s">
        <v>8339</v>
      </c>
      <c r="D1120" t="s">
        <v>8148</v>
      </c>
      <c r="E1120" t="s">
        <v>8147</v>
      </c>
      <c r="F1120" s="20">
        <v>0</v>
      </c>
      <c r="G1120" t="s">
        <v>9249</v>
      </c>
      <c r="H1120" t="s">
        <v>8152</v>
      </c>
      <c r="K1120" t="s">
        <v>4255</v>
      </c>
      <c r="M1120" t="str">
        <f>"01461672"</f>
        <v>01461672</v>
      </c>
      <c r="N1120" s="2" t="str">
        <f>"20151001"</f>
        <v>20151001</v>
      </c>
      <c r="O1120">
        <v>41</v>
      </c>
      <c r="P1120">
        <v>10</v>
      </c>
      <c r="Q1120">
        <v>1438</v>
      </c>
      <c r="R1120">
        <v>16</v>
      </c>
      <c r="S1120" t="s">
        <v>8149</v>
      </c>
      <c r="T1120" t="s">
        <v>8150</v>
      </c>
      <c r="U1120" t="s">
        <v>15</v>
      </c>
      <c r="V1120" t="s">
        <v>8151</v>
      </c>
      <c r="X1120" t="s">
        <v>8153</v>
      </c>
      <c r="Y1120" t="b">
        <f t="shared" si="17"/>
        <v>0</v>
      </c>
    </row>
    <row r="1121" spans="1:25">
      <c r="A1121" s="11" t="s">
        <v>9939</v>
      </c>
      <c r="B1121" t="s">
        <v>16</v>
      </c>
      <c r="C1121" s="2" t="s">
        <v>8334</v>
      </c>
      <c r="D1121" t="s">
        <v>8155</v>
      </c>
      <c r="E1121" t="s">
        <v>8154</v>
      </c>
      <c r="F1121" s="21">
        <v>1</v>
      </c>
      <c r="H1121" t="s">
        <v>8159</v>
      </c>
      <c r="I1121">
        <v>1</v>
      </c>
      <c r="K1121" t="s">
        <v>132</v>
      </c>
      <c r="M1121" t="str">
        <f>"01471767"</f>
        <v>01471767</v>
      </c>
      <c r="N1121" s="2" t="str">
        <f>"20140101"</f>
        <v>20140101</v>
      </c>
      <c r="O1121">
        <v>38</v>
      </c>
      <c r="Q1121">
        <v>133</v>
      </c>
      <c r="R1121">
        <v>9</v>
      </c>
      <c r="S1121" t="s">
        <v>8156</v>
      </c>
      <c r="T1121" t="s">
        <v>8157</v>
      </c>
      <c r="U1121" t="s">
        <v>34</v>
      </c>
      <c r="V1121" t="s">
        <v>8158</v>
      </c>
      <c r="X1121" t="s">
        <v>8160</v>
      </c>
      <c r="Y1121" t="b">
        <f t="shared" si="17"/>
        <v>0</v>
      </c>
    </row>
    <row r="1122" spans="1:25">
      <c r="A1122" s="11" t="s">
        <v>9939</v>
      </c>
      <c r="B1122" t="s">
        <v>16</v>
      </c>
      <c r="C1122" s="2" t="s">
        <v>8346</v>
      </c>
      <c r="D1122" t="s">
        <v>2677</v>
      </c>
      <c r="E1122" t="s">
        <v>8161</v>
      </c>
      <c r="F1122" s="21">
        <v>1</v>
      </c>
      <c r="H1122" t="s">
        <v>8165</v>
      </c>
      <c r="I1122">
        <v>0</v>
      </c>
      <c r="J1122" t="s">
        <v>9178</v>
      </c>
      <c r="K1122" t="s">
        <v>1774</v>
      </c>
      <c r="M1122" t="str">
        <f>"0049089X"</f>
        <v>0049089X</v>
      </c>
      <c r="N1122" s="2" t="str">
        <f>"20110901"</f>
        <v>20110901</v>
      </c>
      <c r="O1122">
        <v>40</v>
      </c>
      <c r="P1122">
        <v>5</v>
      </c>
      <c r="Q1122">
        <v>1390</v>
      </c>
      <c r="R1122">
        <v>12</v>
      </c>
      <c r="S1122" t="s">
        <v>8162</v>
      </c>
      <c r="T1122" t="s">
        <v>8163</v>
      </c>
      <c r="U1122" t="s">
        <v>34</v>
      </c>
      <c r="V1122" t="s">
        <v>8164</v>
      </c>
      <c r="X1122" t="s">
        <v>8166</v>
      </c>
      <c r="Y1122" t="b">
        <f t="shared" si="17"/>
        <v>0</v>
      </c>
    </row>
    <row r="1123" spans="1:25" hidden="1">
      <c r="A1123" s="11" t="s">
        <v>9939</v>
      </c>
      <c r="B1123" t="s">
        <v>16</v>
      </c>
      <c r="C1123" s="2" t="s">
        <v>8342</v>
      </c>
      <c r="D1123" t="s">
        <v>8168</v>
      </c>
      <c r="E1123" t="s">
        <v>8167</v>
      </c>
      <c r="F1123" s="20">
        <v>0</v>
      </c>
      <c r="G1123" t="s">
        <v>9178</v>
      </c>
      <c r="H1123" t="s">
        <v>8172</v>
      </c>
      <c r="K1123" t="s">
        <v>268</v>
      </c>
      <c r="M1123" t="str">
        <f>"17401445"</f>
        <v>17401445</v>
      </c>
      <c r="N1123" s="2" t="str">
        <f>"20120901"</f>
        <v>20120901</v>
      </c>
      <c r="O1123">
        <v>9</v>
      </c>
      <c r="P1123">
        <v>4</v>
      </c>
      <c r="Q1123">
        <v>559</v>
      </c>
      <c r="R1123">
        <v>4</v>
      </c>
      <c r="S1123" t="s">
        <v>8169</v>
      </c>
      <c r="T1123" t="s">
        <v>8170</v>
      </c>
      <c r="U1123" t="s">
        <v>34</v>
      </c>
      <c r="V1123" t="s">
        <v>8171</v>
      </c>
      <c r="X1123" t="s">
        <v>8173</v>
      </c>
      <c r="Y1123" t="b">
        <f t="shared" si="17"/>
        <v>0</v>
      </c>
    </row>
    <row r="1124" spans="1:25" hidden="1">
      <c r="A1124" s="11" t="s">
        <v>9939</v>
      </c>
      <c r="B1124" t="s">
        <v>16</v>
      </c>
      <c r="C1124" s="2" t="s">
        <v>8349</v>
      </c>
      <c r="D1124" t="s">
        <v>8175</v>
      </c>
      <c r="E1124" t="s">
        <v>8174</v>
      </c>
      <c r="H1124" t="s">
        <v>8179</v>
      </c>
      <c r="K1124" t="s">
        <v>132</v>
      </c>
      <c r="M1124" t="str">
        <f>"01471767"</f>
        <v>01471767</v>
      </c>
      <c r="N1124" s="2" t="str">
        <f>"20190301"</f>
        <v>20190301</v>
      </c>
      <c r="O1124">
        <v>69</v>
      </c>
      <c r="Q1124">
        <v>24</v>
      </c>
      <c r="R1124">
        <v>8</v>
      </c>
      <c r="S1124" t="s">
        <v>8176</v>
      </c>
      <c r="T1124" t="s">
        <v>8177</v>
      </c>
      <c r="U1124" t="s">
        <v>34</v>
      </c>
      <c r="V1124" t="s">
        <v>8178</v>
      </c>
      <c r="X1124" t="s">
        <v>8180</v>
      </c>
      <c r="Y1124" t="b">
        <f t="shared" si="17"/>
        <v>1</v>
      </c>
    </row>
    <row r="1125" spans="1:25">
      <c r="A1125" s="11" t="s">
        <v>9939</v>
      </c>
      <c r="B1125" t="s">
        <v>69</v>
      </c>
      <c r="C1125" s="2" t="s">
        <v>8350</v>
      </c>
      <c r="D1125" t="s">
        <v>8182</v>
      </c>
      <c r="E1125" t="s">
        <v>8181</v>
      </c>
      <c r="F1125" s="21">
        <v>1</v>
      </c>
      <c r="H1125" t="s">
        <v>8185</v>
      </c>
      <c r="I1125">
        <v>0</v>
      </c>
      <c r="J1125" t="s">
        <v>9249</v>
      </c>
      <c r="K1125" t="s">
        <v>65</v>
      </c>
      <c r="L1125" t="str">
        <f>"9798672162584"</f>
        <v>9798672162584</v>
      </c>
      <c r="M1125" t="str">
        <f>"04194209"</f>
        <v>04194209</v>
      </c>
      <c r="N1125" s="2" t="str">
        <f>"20210101"</f>
        <v>20210101</v>
      </c>
      <c r="O1125">
        <v>82</v>
      </c>
      <c r="P1125" t="s">
        <v>3183</v>
      </c>
      <c r="S1125" t="s">
        <v>8183</v>
      </c>
      <c r="U1125" t="s">
        <v>68</v>
      </c>
      <c r="V1125" t="s">
        <v>8184</v>
      </c>
      <c r="X1125" t="s">
        <v>8186</v>
      </c>
      <c r="Y1125" t="b">
        <f t="shared" si="17"/>
        <v>0</v>
      </c>
    </row>
    <row r="1126" spans="1:25">
      <c r="A1126" s="11" t="s">
        <v>9939</v>
      </c>
      <c r="B1126" t="s">
        <v>16</v>
      </c>
      <c r="C1126" s="2" t="s">
        <v>8345</v>
      </c>
      <c r="D1126" t="s">
        <v>8188</v>
      </c>
      <c r="E1126" t="s">
        <v>8187</v>
      </c>
      <c r="F1126" s="21">
        <v>1</v>
      </c>
      <c r="H1126" t="s">
        <v>8192</v>
      </c>
      <c r="I1126">
        <v>1</v>
      </c>
      <c r="K1126" t="s">
        <v>3883</v>
      </c>
      <c r="M1126" t="str">
        <f>"00027162"</f>
        <v>00027162</v>
      </c>
      <c r="N1126" s="2" t="str">
        <f>"20200701"</f>
        <v>20200701</v>
      </c>
      <c r="O1126">
        <v>690</v>
      </c>
      <c r="P1126">
        <v>1</v>
      </c>
      <c r="Q1126">
        <v>61</v>
      </c>
      <c r="R1126">
        <v>21</v>
      </c>
      <c r="S1126" t="s">
        <v>8189</v>
      </c>
      <c r="T1126" t="s">
        <v>8190</v>
      </c>
      <c r="U1126" t="s">
        <v>15</v>
      </c>
      <c r="V1126" t="s">
        <v>8191</v>
      </c>
      <c r="X1126" t="s">
        <v>8193</v>
      </c>
      <c r="Y1126" t="b">
        <f t="shared" si="17"/>
        <v>0</v>
      </c>
    </row>
    <row r="1127" spans="1:25" hidden="1">
      <c r="A1127" s="11" t="s">
        <v>9939</v>
      </c>
      <c r="B1127" t="s">
        <v>395</v>
      </c>
      <c r="C1127" s="2" t="s">
        <v>8337</v>
      </c>
      <c r="D1127" t="s">
        <v>8195</v>
      </c>
      <c r="E1127" t="s">
        <v>8194</v>
      </c>
      <c r="F1127" s="20">
        <v>0</v>
      </c>
      <c r="G1127" t="s">
        <v>9178</v>
      </c>
      <c r="H1127" t="s">
        <v>8200</v>
      </c>
      <c r="K1127" t="s">
        <v>8196</v>
      </c>
      <c r="L1127" t="str">
        <f>"9780857933836; 9780857933843"</f>
        <v>9780857933836; 9780857933843</v>
      </c>
      <c r="N1127" s="2" t="str">
        <f>"20130101"</f>
        <v>20130101</v>
      </c>
      <c r="Q1127">
        <v>3</v>
      </c>
      <c r="R1127">
        <v>20</v>
      </c>
      <c r="S1127" t="s">
        <v>8197</v>
      </c>
      <c r="T1127" t="s">
        <v>8198</v>
      </c>
      <c r="U1127" t="s">
        <v>4157</v>
      </c>
      <c r="V1127" t="s">
        <v>8199</v>
      </c>
      <c r="X1127" t="s">
        <v>8201</v>
      </c>
      <c r="Y1127" t="b">
        <f t="shared" si="17"/>
        <v>0</v>
      </c>
    </row>
    <row r="1128" spans="1:25">
      <c r="A1128" s="11" t="s">
        <v>9939</v>
      </c>
      <c r="B1128" t="s">
        <v>16</v>
      </c>
      <c r="C1128" s="2" t="s">
        <v>8339</v>
      </c>
      <c r="D1128" t="s">
        <v>8203</v>
      </c>
      <c r="E1128" t="s">
        <v>8202</v>
      </c>
      <c r="F1128" s="22">
        <v>1</v>
      </c>
      <c r="H1128" t="s">
        <v>8207</v>
      </c>
      <c r="I1128">
        <v>1</v>
      </c>
      <c r="K1128" t="s">
        <v>703</v>
      </c>
      <c r="M1128" t="str">
        <f>"00219029"</f>
        <v>00219029</v>
      </c>
      <c r="N1128" s="2" t="str">
        <f>"20150101"</f>
        <v>20150101</v>
      </c>
      <c r="O1128">
        <v>45</v>
      </c>
      <c r="P1128">
        <v>1</v>
      </c>
      <c r="Q1128">
        <v>23</v>
      </c>
      <c r="R1128">
        <v>12</v>
      </c>
      <c r="S1128" t="s">
        <v>8204</v>
      </c>
      <c r="T1128" t="s">
        <v>8205</v>
      </c>
      <c r="U1128" t="s">
        <v>730</v>
      </c>
      <c r="V1128" t="s">
        <v>8206</v>
      </c>
      <c r="X1128" t="s">
        <v>8208</v>
      </c>
      <c r="Y1128" t="b">
        <f t="shared" si="17"/>
        <v>0</v>
      </c>
    </row>
    <row r="1129" spans="1:25" hidden="1">
      <c r="A1129" s="11" t="s">
        <v>9939</v>
      </c>
      <c r="B1129" t="s">
        <v>69</v>
      </c>
      <c r="C1129" s="2" t="s">
        <v>8341</v>
      </c>
      <c r="D1129" t="s">
        <v>8210</v>
      </c>
      <c r="E1129" t="s">
        <v>8209</v>
      </c>
      <c r="H1129" t="s">
        <v>8213</v>
      </c>
      <c r="K1129" t="s">
        <v>101</v>
      </c>
      <c r="L1129" t="str">
        <f>"9781109063110"</f>
        <v>9781109063110</v>
      </c>
      <c r="M1129" t="str">
        <f>"04194217"</f>
        <v>04194217</v>
      </c>
      <c r="N1129" s="2" t="str">
        <f>"20090101"</f>
        <v>20090101</v>
      </c>
      <c r="O1129">
        <v>70</v>
      </c>
      <c r="P1129" t="s">
        <v>2940</v>
      </c>
      <c r="Q1129">
        <v>1959</v>
      </c>
      <c r="R1129">
        <v>1</v>
      </c>
      <c r="S1129" t="s">
        <v>8211</v>
      </c>
      <c r="U1129" t="s">
        <v>68</v>
      </c>
      <c r="V1129" t="s">
        <v>8212</v>
      </c>
      <c r="X1129" t="s">
        <v>8214</v>
      </c>
      <c r="Y1129" t="b">
        <f t="shared" si="17"/>
        <v>1</v>
      </c>
    </row>
    <row r="1130" spans="1:25" hidden="1">
      <c r="A1130" s="11" t="s">
        <v>9939</v>
      </c>
      <c r="B1130" t="s">
        <v>16</v>
      </c>
      <c r="C1130" s="2" t="s">
        <v>8348</v>
      </c>
      <c r="D1130" t="s">
        <v>8216</v>
      </c>
      <c r="E1130" t="s">
        <v>8215</v>
      </c>
      <c r="F1130" s="20">
        <v>0</v>
      </c>
      <c r="G1130" t="s">
        <v>9237</v>
      </c>
      <c r="H1130" t="s">
        <v>8220</v>
      </c>
      <c r="K1130" t="s">
        <v>3964</v>
      </c>
      <c r="M1130" t="str">
        <f>"00377732"</f>
        <v>00377732</v>
      </c>
      <c r="N1130" s="2" t="str">
        <f>"20050601"</f>
        <v>20050601</v>
      </c>
      <c r="O1130">
        <v>83</v>
      </c>
      <c r="P1130">
        <v>4</v>
      </c>
      <c r="Q1130">
        <v>1567</v>
      </c>
      <c r="R1130">
        <v>36</v>
      </c>
      <c r="S1130" t="s">
        <v>8217</v>
      </c>
      <c r="T1130" t="s">
        <v>8218</v>
      </c>
      <c r="U1130" t="s">
        <v>3967</v>
      </c>
      <c r="V1130" t="s">
        <v>8219</v>
      </c>
      <c r="X1130" t="s">
        <v>8221</v>
      </c>
      <c r="Y1130" t="b">
        <f t="shared" si="17"/>
        <v>0</v>
      </c>
    </row>
    <row r="1131" spans="1:25">
      <c r="A1131" s="11" t="s">
        <v>9939</v>
      </c>
      <c r="B1131" t="s">
        <v>16</v>
      </c>
      <c r="C1131" s="2" t="s">
        <v>8337</v>
      </c>
      <c r="D1131" t="s">
        <v>39</v>
      </c>
      <c r="E1131" t="s">
        <v>8222</v>
      </c>
      <c r="F1131" s="21">
        <v>1</v>
      </c>
      <c r="H1131" t="s">
        <v>8228</v>
      </c>
      <c r="I1131">
        <v>1</v>
      </c>
      <c r="K1131" t="s">
        <v>8223</v>
      </c>
      <c r="M1131" t="str">
        <f>"10493867"</f>
        <v>10493867</v>
      </c>
      <c r="N1131" s="2" t="str">
        <f>"20131101"</f>
        <v>20131101</v>
      </c>
      <c r="O1131">
        <v>23</v>
      </c>
      <c r="P1131">
        <v>6</v>
      </c>
      <c r="Q1131" t="s">
        <v>8224</v>
      </c>
      <c r="R1131">
        <v>8</v>
      </c>
      <c r="S1131" t="s">
        <v>8225</v>
      </c>
      <c r="T1131" t="s">
        <v>8226</v>
      </c>
      <c r="U1131" t="s">
        <v>34</v>
      </c>
      <c r="V1131" t="s">
        <v>8227</v>
      </c>
      <c r="X1131" t="s">
        <v>8229</v>
      </c>
      <c r="Y1131" t="b">
        <f t="shared" si="17"/>
        <v>0</v>
      </c>
    </row>
    <row r="1132" spans="1:25" hidden="1">
      <c r="A1132" s="11" t="s">
        <v>9939</v>
      </c>
      <c r="B1132" t="s">
        <v>16</v>
      </c>
      <c r="C1132" s="2" t="s">
        <v>8338</v>
      </c>
      <c r="D1132" t="s">
        <v>8231</v>
      </c>
      <c r="E1132" t="s">
        <v>8230</v>
      </c>
      <c r="H1132" t="s">
        <v>8235</v>
      </c>
      <c r="K1132" t="s">
        <v>3139</v>
      </c>
      <c r="M1132" t="str">
        <f>"0162895X"</f>
        <v>0162895X</v>
      </c>
      <c r="N1132" s="2" t="str">
        <f>"20060801"</f>
        <v>20060801</v>
      </c>
      <c r="O1132">
        <v>27</v>
      </c>
      <c r="P1132">
        <v>4</v>
      </c>
      <c r="Q1132">
        <v>549</v>
      </c>
      <c r="R1132">
        <v>20</v>
      </c>
      <c r="S1132" t="s">
        <v>8232</v>
      </c>
      <c r="T1132" t="s">
        <v>8233</v>
      </c>
      <c r="U1132" t="s">
        <v>464</v>
      </c>
      <c r="V1132" t="s">
        <v>8234</v>
      </c>
      <c r="X1132" t="s">
        <v>8236</v>
      </c>
      <c r="Y1132" t="b">
        <f t="shared" si="17"/>
        <v>1</v>
      </c>
    </row>
    <row r="1133" spans="1:25" hidden="1">
      <c r="A1133" s="11" t="s">
        <v>9939</v>
      </c>
      <c r="B1133" t="s">
        <v>16</v>
      </c>
      <c r="C1133" s="2" t="s">
        <v>8347</v>
      </c>
      <c r="D1133" t="s">
        <v>8238</v>
      </c>
      <c r="E1133" t="s">
        <v>8237</v>
      </c>
      <c r="H1133" t="s">
        <v>8242</v>
      </c>
      <c r="K1133" t="s">
        <v>4255</v>
      </c>
      <c r="M1133" t="str">
        <f>"01461672"</f>
        <v>01461672</v>
      </c>
      <c r="N1133" s="2" t="str">
        <f>"20080301"</f>
        <v>20080301</v>
      </c>
      <c r="O1133">
        <v>34</v>
      </c>
      <c r="P1133">
        <v>3</v>
      </c>
      <c r="Q1133">
        <v>337</v>
      </c>
      <c r="R1133">
        <v>16</v>
      </c>
      <c r="S1133" t="s">
        <v>8239</v>
      </c>
      <c r="T1133" t="s">
        <v>8240</v>
      </c>
      <c r="U1133" t="s">
        <v>15</v>
      </c>
      <c r="V1133" t="s">
        <v>8241</v>
      </c>
      <c r="X1133" t="s">
        <v>8243</v>
      </c>
      <c r="Y1133" t="b">
        <f t="shared" si="17"/>
        <v>1</v>
      </c>
    </row>
    <row r="1134" spans="1:25">
      <c r="A1134" s="11" t="s">
        <v>9939</v>
      </c>
      <c r="B1134" t="s">
        <v>69</v>
      </c>
      <c r="C1134" s="2" t="s">
        <v>8340</v>
      </c>
      <c r="D1134" t="s">
        <v>8245</v>
      </c>
      <c r="E1134" t="s">
        <v>8244</v>
      </c>
      <c r="F1134" s="21">
        <v>1</v>
      </c>
      <c r="H1134" t="s">
        <v>8248</v>
      </c>
      <c r="I1134">
        <v>1</v>
      </c>
      <c r="K1134" t="s">
        <v>101</v>
      </c>
      <c r="L1134" t="str">
        <f>"9781369807141"</f>
        <v>9781369807141</v>
      </c>
      <c r="M1134" t="str">
        <f>"04194217"</f>
        <v>04194217</v>
      </c>
      <c r="N1134" s="2" t="str">
        <f>"20180101"</f>
        <v>20180101</v>
      </c>
      <c r="O1134">
        <v>78</v>
      </c>
      <c r="P1134" t="s">
        <v>7546</v>
      </c>
      <c r="S1134" t="s">
        <v>8246</v>
      </c>
      <c r="U1134" t="s">
        <v>68</v>
      </c>
      <c r="V1134" t="s">
        <v>8247</v>
      </c>
      <c r="X1134" t="s">
        <v>8249</v>
      </c>
      <c r="Y1134" t="b">
        <f t="shared" si="17"/>
        <v>0</v>
      </c>
    </row>
    <row r="1135" spans="1:25" hidden="1">
      <c r="A1135" s="11" t="s">
        <v>9939</v>
      </c>
      <c r="B1135" t="s">
        <v>69</v>
      </c>
      <c r="C1135" s="2" t="s">
        <v>8345</v>
      </c>
      <c r="D1135" t="s">
        <v>8251</v>
      </c>
      <c r="E1135" t="s">
        <v>8250</v>
      </c>
      <c r="H1135" t="s">
        <v>8254</v>
      </c>
      <c r="K1135" t="s">
        <v>101</v>
      </c>
      <c r="L1135" t="str">
        <f>"9781085743761"</f>
        <v>9781085743761</v>
      </c>
      <c r="M1135" t="str">
        <f>"04194217"</f>
        <v>04194217</v>
      </c>
      <c r="N1135" s="2" t="str">
        <f>"20200101"</f>
        <v>20200101</v>
      </c>
      <c r="O1135">
        <v>81</v>
      </c>
      <c r="P1135" t="s">
        <v>102</v>
      </c>
      <c r="S1135" t="s">
        <v>8252</v>
      </c>
      <c r="U1135" t="s">
        <v>68</v>
      </c>
      <c r="V1135" t="s">
        <v>8253</v>
      </c>
      <c r="X1135" t="s">
        <v>8255</v>
      </c>
      <c r="Y1135" t="b">
        <f t="shared" si="17"/>
        <v>1</v>
      </c>
    </row>
    <row r="1136" spans="1:25" hidden="1">
      <c r="A1136" s="11" t="s">
        <v>9939</v>
      </c>
      <c r="B1136" t="s">
        <v>16</v>
      </c>
      <c r="C1136" s="2" t="s">
        <v>8346</v>
      </c>
      <c r="D1136" t="s">
        <v>8257</v>
      </c>
      <c r="E1136" t="s">
        <v>8256</v>
      </c>
      <c r="H1136" t="s">
        <v>8261</v>
      </c>
      <c r="K1136" t="s">
        <v>4255</v>
      </c>
      <c r="M1136" t="str">
        <f>"01461672"</f>
        <v>01461672</v>
      </c>
      <c r="N1136" s="2" t="str">
        <f>"20110401"</f>
        <v>20110401</v>
      </c>
      <c r="O1136">
        <v>37</v>
      </c>
      <c r="P1136">
        <v>4</v>
      </c>
      <c r="Q1136">
        <v>451</v>
      </c>
      <c r="R1136">
        <v>13</v>
      </c>
      <c r="S1136" t="s">
        <v>8258</v>
      </c>
      <c r="T1136" t="s">
        <v>8259</v>
      </c>
      <c r="U1136" t="s">
        <v>15</v>
      </c>
      <c r="V1136" t="s">
        <v>8260</v>
      </c>
      <c r="X1136" t="s">
        <v>8262</v>
      </c>
      <c r="Y1136" t="b">
        <f t="shared" si="17"/>
        <v>1</v>
      </c>
    </row>
    <row r="1137" spans="1:152" hidden="1">
      <c r="A1137" s="11" t="s">
        <v>9939</v>
      </c>
      <c r="B1137" t="s">
        <v>16</v>
      </c>
      <c r="C1137" s="2" t="s">
        <v>8340</v>
      </c>
      <c r="D1137" t="s">
        <v>8264</v>
      </c>
      <c r="E1137" t="s">
        <v>8263</v>
      </c>
      <c r="H1137" t="s">
        <v>8269</v>
      </c>
      <c r="K1137" t="s">
        <v>8265</v>
      </c>
      <c r="M1137" t="str">
        <f>"09243453"</f>
        <v>09243453</v>
      </c>
      <c r="N1137" s="2" t="str">
        <f>"20181201"</f>
        <v>20181201</v>
      </c>
      <c r="O1137">
        <v>29</v>
      </c>
      <c r="P1137">
        <v>4</v>
      </c>
      <c r="Q1137">
        <v>573</v>
      </c>
      <c r="R1137">
        <v>17</v>
      </c>
      <c r="S1137" t="s">
        <v>8266</v>
      </c>
      <c r="T1137" t="s">
        <v>8267</v>
      </c>
      <c r="U1137" t="s">
        <v>87</v>
      </c>
      <c r="V1137" t="s">
        <v>8268</v>
      </c>
      <c r="X1137" t="s">
        <v>8270</v>
      </c>
      <c r="Y1137" t="b">
        <f t="shared" si="17"/>
        <v>1</v>
      </c>
    </row>
    <row r="1138" spans="1:152" hidden="1">
      <c r="A1138" s="11" t="s">
        <v>9939</v>
      </c>
      <c r="B1138" t="s">
        <v>16</v>
      </c>
      <c r="C1138" s="2" t="s">
        <v>8334</v>
      </c>
      <c r="D1138" t="s">
        <v>8272</v>
      </c>
      <c r="E1138" t="s">
        <v>8271</v>
      </c>
      <c r="F1138" s="20">
        <v>0</v>
      </c>
      <c r="G1138" t="s">
        <v>9178</v>
      </c>
      <c r="H1138" t="s">
        <v>8277</v>
      </c>
      <c r="K1138" t="s">
        <v>8273</v>
      </c>
      <c r="M1138" t="str">
        <f>"21520828"</f>
        <v>21520828</v>
      </c>
      <c r="N1138" s="2" t="str">
        <f>"20140701"</f>
        <v>20140701</v>
      </c>
      <c r="O1138">
        <v>4</v>
      </c>
      <c r="P1138">
        <v>3</v>
      </c>
      <c r="Q1138">
        <v>348</v>
      </c>
      <c r="R1138">
        <v>15</v>
      </c>
      <c r="S1138" t="s">
        <v>8274</v>
      </c>
      <c r="T1138" t="s">
        <v>8275</v>
      </c>
      <c r="U1138" t="s">
        <v>183</v>
      </c>
      <c r="V1138" t="s">
        <v>8276</v>
      </c>
      <c r="X1138" t="s">
        <v>8278</v>
      </c>
      <c r="Y1138" t="b">
        <f t="shared" si="17"/>
        <v>0</v>
      </c>
    </row>
    <row r="1139" spans="1:152">
      <c r="A1139" s="11" t="s">
        <v>9939</v>
      </c>
      <c r="B1139" t="s">
        <v>16</v>
      </c>
      <c r="C1139" s="2" t="s">
        <v>8339</v>
      </c>
      <c r="D1139" t="s">
        <v>8280</v>
      </c>
      <c r="E1139" t="s">
        <v>8279</v>
      </c>
      <c r="F1139" s="21">
        <v>1</v>
      </c>
      <c r="H1139" t="s">
        <v>8284</v>
      </c>
      <c r="I1139">
        <v>1</v>
      </c>
      <c r="K1139" t="s">
        <v>1774</v>
      </c>
      <c r="M1139" t="str">
        <f>"0049089X"</f>
        <v>0049089X</v>
      </c>
      <c r="N1139" s="2" t="str">
        <f>"20150701"</f>
        <v>20150701</v>
      </c>
      <c r="O1139">
        <v>52</v>
      </c>
      <c r="Q1139">
        <v>99</v>
      </c>
      <c r="R1139">
        <v>25</v>
      </c>
      <c r="S1139" t="s">
        <v>8281</v>
      </c>
      <c r="T1139" t="s">
        <v>8282</v>
      </c>
      <c r="U1139" t="s">
        <v>34</v>
      </c>
      <c r="V1139" t="s">
        <v>8283</v>
      </c>
      <c r="X1139" t="s">
        <v>8285</v>
      </c>
      <c r="Y1139" t="b">
        <f t="shared" si="17"/>
        <v>0</v>
      </c>
    </row>
    <row r="1140" spans="1:152" hidden="1">
      <c r="A1140" s="11" t="s">
        <v>9939</v>
      </c>
      <c r="B1140" t="s">
        <v>16</v>
      </c>
      <c r="C1140" s="2" t="s">
        <v>8353</v>
      </c>
      <c r="D1140" t="s">
        <v>8287</v>
      </c>
      <c r="E1140" t="s">
        <v>8286</v>
      </c>
      <c r="F1140" s="20">
        <v>0</v>
      </c>
      <c r="G1140" t="s">
        <v>9249</v>
      </c>
      <c r="H1140" t="s">
        <v>8291</v>
      </c>
      <c r="K1140" t="s">
        <v>132</v>
      </c>
      <c r="M1140" t="str">
        <f>"01471767"</f>
        <v>01471767</v>
      </c>
      <c r="N1140" s="2" t="str">
        <f>"20161101"</f>
        <v>20161101</v>
      </c>
      <c r="O1140">
        <v>55</v>
      </c>
      <c r="Q1140">
        <v>44</v>
      </c>
      <c r="R1140">
        <v>11</v>
      </c>
      <c r="S1140" t="s">
        <v>8288</v>
      </c>
      <c r="T1140" t="s">
        <v>8289</v>
      </c>
      <c r="U1140" t="s">
        <v>34</v>
      </c>
      <c r="V1140" t="s">
        <v>8290</v>
      </c>
      <c r="X1140" t="s">
        <v>8292</v>
      </c>
      <c r="Y1140" t="b">
        <f t="shared" si="17"/>
        <v>0</v>
      </c>
    </row>
    <row r="1141" spans="1:152">
      <c r="A1141" s="11" t="s">
        <v>9939</v>
      </c>
      <c r="B1141" t="s">
        <v>16</v>
      </c>
      <c r="C1141" s="2" t="s">
        <v>8349</v>
      </c>
      <c r="D1141" t="s">
        <v>8294</v>
      </c>
      <c r="E1141" t="s">
        <v>8293</v>
      </c>
      <c r="F1141" s="21">
        <v>1</v>
      </c>
      <c r="H1141" t="s">
        <v>8298</v>
      </c>
      <c r="I1141">
        <v>1</v>
      </c>
      <c r="K1141" t="s">
        <v>40</v>
      </c>
      <c r="M1141" t="str">
        <f>"15571912"</f>
        <v>15571912</v>
      </c>
      <c r="N1141" s="2" t="str">
        <f>"20190615"</f>
        <v>20190615</v>
      </c>
      <c r="O1141">
        <v>21</v>
      </c>
      <c r="P1141">
        <v>3</v>
      </c>
      <c r="Q1141">
        <v>668</v>
      </c>
      <c r="R1141">
        <v>6</v>
      </c>
      <c r="S1141" t="s">
        <v>8295</v>
      </c>
      <c r="T1141" t="s">
        <v>8296</v>
      </c>
      <c r="U1141" t="s">
        <v>42</v>
      </c>
      <c r="V1141" t="s">
        <v>8297</v>
      </c>
      <c r="X1141" t="s">
        <v>8299</v>
      </c>
      <c r="Y1141" t="b">
        <f t="shared" si="17"/>
        <v>0</v>
      </c>
    </row>
    <row r="1142" spans="1:152">
      <c r="A1142" s="11" t="s">
        <v>9939</v>
      </c>
      <c r="B1142" t="s">
        <v>69</v>
      </c>
      <c r="C1142" s="2" t="s">
        <v>8347</v>
      </c>
      <c r="D1142" t="s">
        <v>8301</v>
      </c>
      <c r="E1142" t="s">
        <v>8300</v>
      </c>
      <c r="F1142" s="21">
        <v>1</v>
      </c>
      <c r="H1142" t="s">
        <v>8304</v>
      </c>
      <c r="I1142">
        <v>1</v>
      </c>
      <c r="K1142" t="s">
        <v>101</v>
      </c>
      <c r="M1142" t="str">
        <f>"04194217"</f>
        <v>04194217</v>
      </c>
      <c r="N1142" s="2" t="str">
        <f>"20080101"</f>
        <v>20080101</v>
      </c>
      <c r="O1142">
        <v>68</v>
      </c>
      <c r="P1142" t="s">
        <v>7506</v>
      </c>
      <c r="Q1142">
        <v>6366</v>
      </c>
      <c r="R1142">
        <v>1</v>
      </c>
      <c r="S1142" t="s">
        <v>8302</v>
      </c>
      <c r="U1142" t="s">
        <v>68</v>
      </c>
      <c r="V1142" t="s">
        <v>8303</v>
      </c>
      <c r="X1142" t="s">
        <v>8305</v>
      </c>
      <c r="Y1142" t="b">
        <f t="shared" si="17"/>
        <v>0</v>
      </c>
    </row>
    <row r="1143" spans="1:152" hidden="1">
      <c r="A1143" s="11" t="s">
        <v>9939</v>
      </c>
      <c r="B1143" t="s">
        <v>16</v>
      </c>
      <c r="C1143" s="2" t="s">
        <v>8349</v>
      </c>
      <c r="D1143" t="s">
        <v>8307</v>
      </c>
      <c r="E1143" t="s">
        <v>8306</v>
      </c>
      <c r="F1143" s="20">
        <v>0</v>
      </c>
      <c r="G1143" t="s">
        <v>9178</v>
      </c>
      <c r="H1143" t="s">
        <v>8311</v>
      </c>
      <c r="K1143" t="s">
        <v>140</v>
      </c>
      <c r="M1143" t="str">
        <f>"02779536"</f>
        <v>02779536</v>
      </c>
      <c r="N1143" s="2" t="str">
        <f>"20190501"</f>
        <v>20190501</v>
      </c>
      <c r="O1143">
        <v>228</v>
      </c>
      <c r="Q1143">
        <v>240</v>
      </c>
      <c r="R1143">
        <v>12</v>
      </c>
      <c r="S1143" t="s">
        <v>8308</v>
      </c>
      <c r="T1143" t="s">
        <v>8309</v>
      </c>
      <c r="U1143" t="s">
        <v>34</v>
      </c>
      <c r="V1143" t="s">
        <v>8310</v>
      </c>
      <c r="X1143" t="s">
        <v>8312</v>
      </c>
      <c r="Y1143" t="b">
        <f t="shared" si="17"/>
        <v>0</v>
      </c>
    </row>
    <row r="1144" spans="1:152">
      <c r="A1144" s="11" t="s">
        <v>9939</v>
      </c>
      <c r="B1144" t="s">
        <v>16</v>
      </c>
      <c r="C1144" s="2" t="s">
        <v>8349</v>
      </c>
      <c r="D1144" t="s">
        <v>8314</v>
      </c>
      <c r="E1144" t="s">
        <v>8313</v>
      </c>
      <c r="F1144" s="21">
        <v>1</v>
      </c>
      <c r="H1144" t="s">
        <v>8318</v>
      </c>
      <c r="I1144">
        <v>1</v>
      </c>
      <c r="K1144" t="s">
        <v>132</v>
      </c>
      <c r="M1144" t="str">
        <f>"01471767"</f>
        <v>01471767</v>
      </c>
      <c r="N1144" s="2" t="str">
        <f>"20190501"</f>
        <v>20190501</v>
      </c>
      <c r="O1144">
        <v>70</v>
      </c>
      <c r="Q1144">
        <v>42</v>
      </c>
      <c r="R1144">
        <v>11</v>
      </c>
      <c r="S1144" t="s">
        <v>8315</v>
      </c>
      <c r="T1144" t="s">
        <v>8316</v>
      </c>
      <c r="U1144" t="s">
        <v>34</v>
      </c>
      <c r="V1144" t="s">
        <v>8317</v>
      </c>
      <c r="X1144" t="s">
        <v>8319</v>
      </c>
      <c r="Y1144" t="b">
        <f t="shared" si="17"/>
        <v>0</v>
      </c>
    </row>
    <row r="1145" spans="1:152">
      <c r="A1145" s="11" t="s">
        <v>9939</v>
      </c>
      <c r="B1145" t="s">
        <v>16</v>
      </c>
      <c r="C1145" s="2" t="s">
        <v>8336</v>
      </c>
      <c r="D1145" t="s">
        <v>4988</v>
      </c>
      <c r="E1145" t="s">
        <v>8320</v>
      </c>
      <c r="F1145" s="21">
        <v>1</v>
      </c>
      <c r="H1145" t="s">
        <v>8324</v>
      </c>
      <c r="I1145">
        <v>1</v>
      </c>
      <c r="K1145" t="s">
        <v>1456</v>
      </c>
      <c r="M1145" t="str">
        <f>"10888691"</f>
        <v>10888691</v>
      </c>
      <c r="N1145" s="2" t="str">
        <f>"20070101"</f>
        <v>20070101</v>
      </c>
      <c r="O1145">
        <v>11</v>
      </c>
      <c r="P1145">
        <v>3</v>
      </c>
      <c r="Q1145">
        <v>112</v>
      </c>
      <c r="R1145">
        <v>14</v>
      </c>
      <c r="S1145" t="s">
        <v>8321</v>
      </c>
      <c r="T1145" t="s">
        <v>8322</v>
      </c>
      <c r="U1145" t="s">
        <v>87</v>
      </c>
      <c r="V1145" t="s">
        <v>8323</v>
      </c>
      <c r="X1145" t="s">
        <v>8325</v>
      </c>
      <c r="Y1145" t="b">
        <f t="shared" si="17"/>
        <v>0</v>
      </c>
    </row>
    <row r="1146" spans="1:152" hidden="1">
      <c r="A1146" s="11" t="s">
        <v>9939</v>
      </c>
      <c r="B1146" t="s">
        <v>16</v>
      </c>
      <c r="C1146" s="2" t="s">
        <v>8343</v>
      </c>
      <c r="D1146" t="s">
        <v>8327</v>
      </c>
      <c r="E1146" t="s">
        <v>8326</v>
      </c>
      <c r="F1146" s="20">
        <v>0</v>
      </c>
      <c r="G1146" t="s">
        <v>9178</v>
      </c>
      <c r="H1146" t="s">
        <v>8331</v>
      </c>
      <c r="K1146" t="s">
        <v>40</v>
      </c>
      <c r="M1146" t="str">
        <f>"15571912"</f>
        <v>15571912</v>
      </c>
      <c r="N1146" s="2" t="str">
        <f>"20171001"</f>
        <v>20171001</v>
      </c>
      <c r="O1146">
        <v>19</v>
      </c>
      <c r="P1146">
        <v>5</v>
      </c>
      <c r="Q1146">
        <v>1088</v>
      </c>
      <c r="R1146">
        <v>12</v>
      </c>
      <c r="S1146" t="s">
        <v>8328</v>
      </c>
      <c r="T1146" t="s">
        <v>8329</v>
      </c>
      <c r="U1146" t="s">
        <v>42</v>
      </c>
      <c r="V1146" t="s">
        <v>8330</v>
      </c>
      <c r="X1146" t="s">
        <v>8332</v>
      </c>
      <c r="Y1146" t="b">
        <f t="shared" si="17"/>
        <v>0</v>
      </c>
    </row>
    <row r="1147" spans="1:152" hidden="1">
      <c r="A1147" s="11" t="s">
        <v>9940</v>
      </c>
      <c r="B1147" s="3" t="s">
        <v>8373</v>
      </c>
      <c r="C1147" s="3">
        <v>2019</v>
      </c>
      <c r="D1147" s="3" t="s">
        <v>824</v>
      </c>
      <c r="E1147" s="3" t="s">
        <v>8374</v>
      </c>
      <c r="F1147" s="3">
        <v>1</v>
      </c>
      <c r="G1147" s="3"/>
      <c r="H1147" s="3" t="s">
        <v>830</v>
      </c>
      <c r="I1147" s="3"/>
      <c r="J1147" s="3"/>
      <c r="K1147" s="3" t="s">
        <v>825</v>
      </c>
      <c r="L1147" s="4"/>
      <c r="M1147" s="3" t="s">
        <v>8375</v>
      </c>
      <c r="T1147" s="3" t="s">
        <v>827</v>
      </c>
      <c r="V1147" s="3"/>
      <c r="W1147" s="4"/>
      <c r="X1147" s="5" t="s">
        <v>831</v>
      </c>
      <c r="Y1147" s="5"/>
      <c r="Z1147" s="3">
        <v>1</v>
      </c>
      <c r="AA1147" s="4"/>
      <c r="AB1147" s="3"/>
      <c r="AE1147" s="3"/>
      <c r="AF1147" s="3"/>
      <c r="AG1147" s="4"/>
      <c r="AH1147" s="4"/>
      <c r="AI1147" s="4"/>
      <c r="AJ1147" s="4"/>
      <c r="AK1147" s="3"/>
      <c r="AL1147" s="7"/>
      <c r="AM1147" s="3"/>
      <c r="AN1147" s="3"/>
      <c r="AO1147" s="4"/>
      <c r="AP1147" s="4"/>
      <c r="AQ1147" s="4"/>
      <c r="AR1147" s="4"/>
      <c r="AS1147" s="3"/>
      <c r="AT1147" s="4"/>
      <c r="AU1147" s="3"/>
      <c r="AV1147" s="4"/>
      <c r="AW1147" s="4"/>
      <c r="AX1147" s="4"/>
      <c r="AY1147" s="4"/>
      <c r="AZ1147" s="4"/>
      <c r="BA1147" s="4"/>
      <c r="BB1147" s="4"/>
      <c r="BC1147" s="4"/>
      <c r="BD1147" s="4"/>
      <c r="BE1147" s="4"/>
      <c r="BF1147" s="3"/>
      <c r="BG1147" s="3"/>
      <c r="BH1147" s="3"/>
      <c r="BI1147" s="4"/>
      <c r="BJ1147" s="3"/>
      <c r="BK1147" s="4"/>
      <c r="BL1147" s="3"/>
      <c r="BM1147" s="4"/>
      <c r="BN1147" s="4"/>
      <c r="BO1147" s="4"/>
      <c r="BP1147" s="4"/>
      <c r="BQ1147" s="4"/>
      <c r="BR1147" s="4"/>
      <c r="BS1147" s="4"/>
      <c r="BT1147" s="4"/>
      <c r="BU1147" s="4"/>
      <c r="BV1147" s="4"/>
      <c r="BW1147" s="4"/>
      <c r="BX1147" s="4"/>
      <c r="BY1147" s="4"/>
      <c r="BZ1147" s="4"/>
      <c r="CA1147" s="4"/>
      <c r="CB1147" s="4"/>
      <c r="CC1147" s="4"/>
      <c r="CD1147" s="4"/>
      <c r="CE1147" s="4"/>
      <c r="CF1147" s="4"/>
      <c r="CG1147" s="4"/>
      <c r="CH1147" s="4"/>
      <c r="CI1147" s="4"/>
      <c r="CJ1147" s="4"/>
      <c r="CK1147" s="4"/>
      <c r="CL1147" s="4"/>
      <c r="CM1147" s="4"/>
      <c r="CN1147" s="4"/>
      <c r="CO1147" s="4"/>
      <c r="CP1147" s="4"/>
      <c r="CQ1147" s="4"/>
      <c r="CR1147" s="4"/>
      <c r="CS1147" s="4"/>
      <c r="CT1147" s="4"/>
      <c r="CU1147" s="4"/>
      <c r="CV1147" s="4"/>
      <c r="CW1147" s="4"/>
      <c r="CX1147" s="4"/>
      <c r="CY1147" s="4"/>
      <c r="CZ1147" s="4"/>
      <c r="DA1147" s="3"/>
      <c r="DB1147" s="3"/>
      <c r="DC1147" s="8"/>
      <c r="DD1147" s="9"/>
      <c r="DE1147" s="9"/>
      <c r="DF1147" s="9"/>
      <c r="DG1147" s="9"/>
      <c r="DH1147" s="4"/>
      <c r="DI1147" s="4"/>
      <c r="DJ1147" s="4"/>
      <c r="DK1147" s="8"/>
      <c r="DL1147" s="4"/>
      <c r="DM1147" s="4"/>
      <c r="DN1147" s="4"/>
      <c r="DO1147" s="4"/>
      <c r="DP1147" s="4"/>
      <c r="DQ1147" s="4"/>
      <c r="DR1147" s="4"/>
      <c r="DS1147" s="4"/>
      <c r="DT1147" s="4"/>
      <c r="DU1147" s="4"/>
      <c r="DV1147" s="4"/>
      <c r="DW1147" s="4"/>
      <c r="DX1147" s="4"/>
      <c r="DY1147" s="4"/>
      <c r="DZ1147" s="4"/>
      <c r="EA1147" s="4"/>
      <c r="EB1147" s="4"/>
      <c r="EC1147" s="4"/>
      <c r="ED1147" s="4"/>
      <c r="EE1147" s="4"/>
      <c r="EF1147" s="8"/>
      <c r="EG1147" s="8"/>
      <c r="EH1147" s="8"/>
      <c r="EI1147" s="8"/>
      <c r="EJ1147" s="8"/>
      <c r="EK1147" s="8"/>
      <c r="EL1147" s="4"/>
      <c r="EM1147" s="4"/>
      <c r="EN1147" s="4"/>
    </row>
    <row r="1148" spans="1:152" hidden="1">
      <c r="A1148" s="11" t="s">
        <v>9940</v>
      </c>
      <c r="B1148" s="3" t="s">
        <v>8373</v>
      </c>
      <c r="C1148" s="3">
        <v>2020</v>
      </c>
      <c r="D1148" s="3" t="s">
        <v>9230</v>
      </c>
      <c r="E1148" s="3" t="s">
        <v>9231</v>
      </c>
      <c r="F1148" s="3">
        <v>1</v>
      </c>
      <c r="G1148" s="3"/>
      <c r="H1148" s="3" t="s">
        <v>9236</v>
      </c>
      <c r="I1148" s="3"/>
      <c r="J1148" s="3"/>
      <c r="K1148" s="3" t="s">
        <v>9232</v>
      </c>
      <c r="L1148" s="4"/>
      <c r="M1148" s="3" t="s">
        <v>9233</v>
      </c>
      <c r="T1148" s="3" t="s">
        <v>9234</v>
      </c>
      <c r="V1148" s="3"/>
      <c r="W1148" s="3"/>
      <c r="X1148" s="5" t="s">
        <v>9235</v>
      </c>
      <c r="Y1148" s="5"/>
      <c r="Z1148" s="3">
        <v>0</v>
      </c>
      <c r="AA1148" s="3" t="s">
        <v>9237</v>
      </c>
      <c r="AB1148" s="4"/>
      <c r="AE1148" s="3"/>
      <c r="AF1148" s="4"/>
      <c r="AG1148" s="4"/>
      <c r="AH1148" s="4"/>
      <c r="AI1148" s="4"/>
      <c r="AJ1148" s="4"/>
      <c r="AK1148" s="3"/>
      <c r="AL1148" s="7"/>
      <c r="AM1148" s="3"/>
      <c r="AN1148" s="3"/>
      <c r="AO1148" s="4"/>
      <c r="AP1148" s="4"/>
      <c r="AQ1148" s="4"/>
      <c r="AR1148" s="4"/>
      <c r="AS1148" s="4"/>
      <c r="AT1148" s="4"/>
      <c r="AU1148" s="3"/>
      <c r="AV1148" s="4"/>
      <c r="AW1148" s="4"/>
      <c r="AX1148" s="4"/>
      <c r="AY1148" s="4"/>
      <c r="AZ1148" s="4"/>
      <c r="BA1148" s="4"/>
      <c r="BB1148" s="4"/>
      <c r="BC1148" s="4"/>
      <c r="BD1148" s="4"/>
      <c r="BE1148" s="4"/>
      <c r="BF1148" s="3"/>
      <c r="BG1148" s="3"/>
      <c r="BH1148" s="3"/>
      <c r="BI1148" s="4"/>
      <c r="BJ1148" s="3"/>
      <c r="BK1148" s="4"/>
      <c r="BL1148" s="4"/>
      <c r="BM1148" s="3"/>
      <c r="BN1148" s="4"/>
      <c r="BO1148" s="4"/>
      <c r="BP1148" s="4"/>
      <c r="BQ1148" s="4"/>
      <c r="BR1148" s="4"/>
      <c r="BS1148" s="4"/>
      <c r="BT1148" s="4"/>
      <c r="BU1148" s="4"/>
      <c r="BV1148" s="4"/>
      <c r="BW1148" s="4"/>
      <c r="BX1148" s="4"/>
      <c r="BY1148" s="4"/>
      <c r="BZ1148" s="4"/>
      <c r="CA1148" s="4"/>
      <c r="CB1148" s="4"/>
      <c r="CC1148" s="4"/>
      <c r="CD1148" s="4"/>
      <c r="CE1148" s="4"/>
      <c r="CF1148" s="4"/>
      <c r="CG1148" s="4"/>
      <c r="CH1148" s="4"/>
      <c r="CI1148" s="4"/>
      <c r="CJ1148" s="4"/>
      <c r="CK1148" s="4"/>
      <c r="CL1148" s="4"/>
      <c r="CM1148" s="4"/>
      <c r="CN1148" s="4"/>
      <c r="CO1148" s="4"/>
      <c r="CP1148" s="4"/>
      <c r="CQ1148" s="4"/>
      <c r="CR1148" s="4"/>
      <c r="CS1148" s="4"/>
      <c r="CT1148" s="4"/>
      <c r="CU1148" s="3"/>
      <c r="CV1148" s="3"/>
      <c r="CW1148" s="4"/>
      <c r="CX1148" s="4"/>
      <c r="CY1148" s="4"/>
      <c r="CZ1148" s="4"/>
      <c r="DA1148" s="4"/>
      <c r="DB1148" s="4"/>
      <c r="DC1148" s="4"/>
      <c r="DD1148" s="4"/>
      <c r="DE1148" s="4"/>
      <c r="DF1148" s="4"/>
      <c r="DG1148" s="4"/>
      <c r="DH1148" s="4"/>
      <c r="DI1148" s="4"/>
      <c r="DJ1148" s="4"/>
      <c r="DK1148" s="4"/>
      <c r="DL1148" s="4"/>
      <c r="DM1148" s="4"/>
      <c r="DN1148" s="4"/>
      <c r="DO1148" s="4"/>
      <c r="DP1148" s="4"/>
      <c r="DQ1148" s="4"/>
      <c r="DR1148" s="4"/>
      <c r="DS1148" s="4"/>
      <c r="DT1148" s="4"/>
      <c r="DU1148" s="4"/>
      <c r="DV1148" s="4"/>
      <c r="DW1148" s="4"/>
      <c r="DX1148" s="4"/>
      <c r="DY1148" s="4"/>
      <c r="DZ1148" s="4"/>
      <c r="EA1148" s="4"/>
      <c r="EB1148" s="4"/>
      <c r="EC1148" s="4"/>
      <c r="ED1148" s="4"/>
      <c r="EE1148" s="4"/>
      <c r="EF1148" s="4"/>
      <c r="EG1148" s="4"/>
      <c r="EH1148" s="4"/>
    </row>
    <row r="1149" spans="1:152" hidden="1">
      <c r="A1149" s="11" t="s">
        <v>9940</v>
      </c>
      <c r="B1149" s="3" t="s">
        <v>8373</v>
      </c>
      <c r="C1149" s="3">
        <v>2018</v>
      </c>
      <c r="D1149" s="3" t="s">
        <v>5153</v>
      </c>
      <c r="E1149" s="3" t="s">
        <v>8376</v>
      </c>
      <c r="F1149" s="3">
        <v>1</v>
      </c>
      <c r="G1149" s="3"/>
      <c r="H1149" s="3" t="s">
        <v>8378</v>
      </c>
      <c r="I1149" s="3"/>
      <c r="J1149" s="3"/>
      <c r="K1149" s="3" t="s">
        <v>2276</v>
      </c>
      <c r="L1149" s="4"/>
      <c r="M1149" s="3" t="s">
        <v>8377</v>
      </c>
      <c r="T1149" s="3" t="s">
        <v>5155</v>
      </c>
      <c r="V1149" s="3"/>
      <c r="W1149" s="4"/>
      <c r="X1149" s="5" t="s">
        <v>5158</v>
      </c>
      <c r="Y1149" s="5"/>
      <c r="Z1149" s="3">
        <v>1</v>
      </c>
      <c r="AA1149" s="4"/>
      <c r="AB1149" s="4"/>
      <c r="AE1149" s="3"/>
      <c r="AF1149" s="3"/>
      <c r="AG1149" s="4"/>
      <c r="AH1149" s="4"/>
      <c r="AI1149" s="4"/>
      <c r="AJ1149" s="4"/>
      <c r="AK1149" s="3"/>
      <c r="AL1149" s="7"/>
      <c r="AM1149" s="3"/>
      <c r="AN1149" s="3"/>
      <c r="AO1149" s="4"/>
      <c r="AP1149" s="3"/>
      <c r="AQ1149" s="3"/>
      <c r="AR1149" s="3"/>
      <c r="AS1149" s="4"/>
      <c r="AT1149" s="3"/>
      <c r="AU1149" s="4"/>
      <c r="AV1149" s="4"/>
      <c r="AW1149" s="4"/>
      <c r="AX1149" s="4"/>
      <c r="AY1149" s="4"/>
      <c r="AZ1149" s="4"/>
      <c r="BA1149" s="4"/>
      <c r="BB1149" s="4"/>
      <c r="BC1149" s="4"/>
      <c r="BD1149" s="4"/>
      <c r="BE1149" s="3"/>
      <c r="BF1149" s="3"/>
      <c r="BG1149" s="3"/>
      <c r="BH1149" s="4"/>
      <c r="BI1149" s="3"/>
      <c r="BJ1149" s="4"/>
      <c r="BK1149" s="4"/>
      <c r="BL1149" s="3"/>
      <c r="BM1149" s="4"/>
      <c r="BN1149" s="4"/>
      <c r="BO1149" s="4"/>
      <c r="BP1149" s="4"/>
      <c r="BQ1149" s="4"/>
      <c r="BR1149" s="4"/>
      <c r="BS1149" s="4"/>
      <c r="BT1149" s="4"/>
      <c r="BU1149" s="4"/>
      <c r="BV1149" s="4"/>
      <c r="BW1149" s="4"/>
      <c r="BX1149" s="4"/>
      <c r="BY1149" s="4"/>
      <c r="BZ1149" s="4"/>
      <c r="CA1149" s="4"/>
      <c r="CB1149" s="4"/>
      <c r="CC1149" s="4"/>
      <c r="CD1149" s="4"/>
      <c r="CE1149" s="4"/>
      <c r="CF1149" s="4"/>
      <c r="CG1149" s="4"/>
      <c r="CH1149" s="4"/>
      <c r="CI1149" s="4"/>
      <c r="CJ1149" s="4"/>
      <c r="CK1149" s="4"/>
      <c r="CL1149" s="4"/>
      <c r="CM1149" s="4"/>
      <c r="CN1149" s="4"/>
      <c r="CO1149" s="4"/>
      <c r="CP1149" s="4"/>
      <c r="CQ1149" s="4"/>
      <c r="CR1149" s="4"/>
      <c r="CS1149" s="4"/>
      <c r="CT1149" s="4"/>
      <c r="CU1149" s="4"/>
      <c r="CV1149" s="4"/>
      <c r="CW1149" s="4"/>
      <c r="CX1149" s="4"/>
      <c r="CY1149" s="4"/>
      <c r="CZ1149" s="4"/>
      <c r="DA1149" s="4"/>
      <c r="DB1149" s="4"/>
      <c r="DC1149" s="4"/>
      <c r="DD1149" s="4"/>
      <c r="DE1149" s="4"/>
      <c r="DF1149" s="3"/>
      <c r="DG1149" s="3"/>
      <c r="DH1149" s="8"/>
      <c r="DI1149" s="4"/>
      <c r="DJ1149" s="4"/>
      <c r="DK1149" s="4"/>
      <c r="DL1149" s="4"/>
      <c r="DM1149" s="8"/>
      <c r="DN1149" s="8"/>
      <c r="DO1149" s="8"/>
      <c r="DP1149" s="8"/>
      <c r="DQ1149" s="4"/>
      <c r="DR1149" s="4"/>
      <c r="DS1149" s="4"/>
      <c r="DT1149" s="4"/>
      <c r="DU1149" s="4"/>
      <c r="DV1149" s="4"/>
      <c r="DW1149" s="4"/>
      <c r="DX1149" s="4"/>
      <c r="DY1149" s="4"/>
      <c r="DZ1149" s="4"/>
      <c r="EA1149" s="4"/>
      <c r="EB1149" s="4"/>
      <c r="EC1149" s="4"/>
      <c r="ED1149" s="4"/>
      <c r="EE1149" s="4"/>
      <c r="EF1149" s="4"/>
      <c r="EG1149" s="4"/>
      <c r="EH1149" s="4"/>
      <c r="EI1149" s="4"/>
      <c r="EJ1149" s="4"/>
      <c r="EK1149" s="8"/>
      <c r="EL1149" s="8"/>
      <c r="EM1149" s="8"/>
      <c r="EN1149" s="8"/>
      <c r="EO1149" s="8"/>
      <c r="EP1149" s="8"/>
      <c r="EQ1149" s="4"/>
      <c r="ER1149" s="4"/>
      <c r="ES1149" s="4"/>
    </row>
    <row r="1150" spans="1:152" hidden="1">
      <c r="A1150" s="11" t="s">
        <v>9940</v>
      </c>
      <c r="B1150" s="3" t="s">
        <v>8379</v>
      </c>
      <c r="C1150" s="3">
        <v>2019</v>
      </c>
      <c r="D1150" s="3" t="s">
        <v>5897</v>
      </c>
      <c r="E1150" s="3" t="s">
        <v>8380</v>
      </c>
      <c r="F1150" s="3">
        <v>1</v>
      </c>
      <c r="G1150" s="4"/>
      <c r="H1150" s="3" t="s">
        <v>5900</v>
      </c>
      <c r="I1150" s="3"/>
      <c r="J1150" s="3"/>
      <c r="K1150" s="4"/>
      <c r="L1150" s="4"/>
      <c r="M1150" s="4"/>
      <c r="T1150" s="4"/>
      <c r="V1150" s="3"/>
      <c r="W1150" s="4"/>
      <c r="X1150" s="5" t="s">
        <v>5901</v>
      </c>
      <c r="Y1150" s="5"/>
      <c r="Z1150" s="3">
        <v>1</v>
      </c>
      <c r="AA1150" s="4"/>
      <c r="AB1150" s="4"/>
      <c r="AE1150" s="3"/>
      <c r="AF1150" s="3"/>
      <c r="AG1150" s="3"/>
      <c r="AH1150" s="4"/>
      <c r="AI1150" s="4"/>
      <c r="AJ1150" s="4"/>
      <c r="AK1150" s="3"/>
      <c r="AL1150" s="3"/>
      <c r="AM1150" s="3"/>
      <c r="AN1150" s="3"/>
      <c r="AO1150" s="4"/>
      <c r="AP1150" s="4"/>
      <c r="AQ1150" s="4"/>
      <c r="AR1150" s="4"/>
      <c r="AS1150" s="4"/>
      <c r="AT1150" s="4"/>
      <c r="AU1150" s="4"/>
      <c r="AV1150" s="4"/>
      <c r="AW1150" s="4"/>
      <c r="AX1150" s="4"/>
      <c r="AY1150" s="4"/>
      <c r="AZ1150" s="4"/>
      <c r="BA1150" s="3"/>
      <c r="BB1150" s="4"/>
      <c r="BC1150" s="3"/>
      <c r="BD1150" s="3"/>
      <c r="BE1150" s="3"/>
      <c r="BF1150" s="4"/>
      <c r="BG1150" s="3"/>
      <c r="BH1150" s="3"/>
      <c r="BI1150" s="4"/>
      <c r="BJ1150" s="4"/>
      <c r="BK1150" s="4"/>
      <c r="BL1150" s="4"/>
      <c r="BM1150" s="4"/>
      <c r="BN1150" s="4"/>
      <c r="BO1150" s="4"/>
      <c r="BP1150" s="4"/>
      <c r="BQ1150" s="4"/>
      <c r="BR1150" s="4"/>
      <c r="BS1150" s="4"/>
      <c r="BT1150" s="4"/>
      <c r="BU1150" s="4"/>
      <c r="BV1150" s="4"/>
      <c r="BW1150" s="4"/>
      <c r="BX1150" s="4"/>
      <c r="BY1150" s="4"/>
      <c r="BZ1150" s="4"/>
      <c r="CA1150" s="4"/>
      <c r="CB1150" s="4"/>
      <c r="CC1150" s="4"/>
      <c r="CD1150" s="4"/>
      <c r="CE1150" s="4"/>
      <c r="CF1150" s="4"/>
      <c r="CG1150" s="4"/>
      <c r="CH1150" s="4"/>
      <c r="CI1150" s="4"/>
      <c r="CJ1150" s="4"/>
      <c r="CK1150" s="4"/>
      <c r="CL1150" s="4"/>
      <c r="CM1150" s="4"/>
      <c r="CN1150" s="4"/>
      <c r="CO1150" s="4"/>
      <c r="CP1150" s="4"/>
      <c r="CQ1150" s="4"/>
      <c r="CR1150" s="4"/>
      <c r="CS1150" s="4"/>
      <c r="CT1150" s="4"/>
      <c r="CU1150" s="4"/>
      <c r="CV1150" s="4"/>
      <c r="CW1150" s="4"/>
      <c r="CX1150" s="4"/>
      <c r="CY1150" s="4"/>
      <c r="CZ1150" s="4"/>
      <c r="DA1150" s="3"/>
      <c r="DB1150" s="3"/>
      <c r="DC1150" s="8"/>
      <c r="DD1150" s="4"/>
      <c r="DE1150" s="4"/>
      <c r="DF1150" s="4"/>
      <c r="DG1150" s="4"/>
      <c r="DH1150" s="8"/>
      <c r="DI1150" s="8"/>
      <c r="DJ1150" s="8"/>
      <c r="DK1150" s="8"/>
      <c r="DL1150" s="4"/>
      <c r="DM1150" s="4"/>
      <c r="DN1150" s="4"/>
      <c r="DO1150" s="4"/>
      <c r="DP1150" s="4"/>
      <c r="DQ1150" s="4"/>
      <c r="DR1150" s="4"/>
      <c r="DS1150" s="4"/>
      <c r="DT1150" s="4"/>
      <c r="DU1150" s="4"/>
      <c r="DV1150" s="4"/>
      <c r="DW1150" s="4"/>
      <c r="DX1150" s="4"/>
      <c r="DY1150" s="4"/>
      <c r="DZ1150" s="4"/>
      <c r="EA1150" s="4"/>
      <c r="EB1150" s="4"/>
      <c r="EC1150" s="4"/>
      <c r="ED1150" s="4"/>
      <c r="EE1150" s="4"/>
      <c r="EF1150" s="8"/>
      <c r="EG1150" s="8"/>
      <c r="EH1150" s="8"/>
      <c r="EI1150" s="8"/>
      <c r="EJ1150" s="8"/>
      <c r="EK1150" s="8"/>
      <c r="EL1150" s="4"/>
      <c r="EM1150" s="4"/>
      <c r="EN1150" s="4"/>
    </row>
    <row r="1151" spans="1:152" hidden="1">
      <c r="A1151" s="11" t="s">
        <v>9940</v>
      </c>
      <c r="B1151" s="3" t="s">
        <v>8373</v>
      </c>
      <c r="C1151" s="3">
        <v>2019</v>
      </c>
      <c r="D1151" s="3" t="s">
        <v>1406</v>
      </c>
      <c r="E1151" s="3" t="s">
        <v>8381</v>
      </c>
      <c r="F1151" s="3">
        <v>1</v>
      </c>
      <c r="G1151" s="3"/>
      <c r="H1151" s="3" t="s">
        <v>8383</v>
      </c>
      <c r="I1151" s="3"/>
      <c r="J1151" s="3"/>
      <c r="K1151" s="3" t="s">
        <v>132</v>
      </c>
      <c r="L1151" s="4"/>
      <c r="M1151" s="3" t="s">
        <v>8382</v>
      </c>
      <c r="T1151" s="3" t="s">
        <v>1408</v>
      </c>
      <c r="V1151" s="3"/>
      <c r="W1151" s="4"/>
      <c r="X1151" s="5" t="s">
        <v>1411</v>
      </c>
      <c r="Y1151" s="5"/>
      <c r="Z1151" s="3">
        <v>1</v>
      </c>
      <c r="AA1151" s="4"/>
      <c r="AB1151" s="4"/>
      <c r="AE1151" s="3"/>
      <c r="AF1151" s="3"/>
      <c r="AG1151" s="4"/>
      <c r="AH1151" s="4"/>
      <c r="AI1151" s="4"/>
      <c r="AJ1151" s="4"/>
      <c r="AK1151" s="3"/>
      <c r="AL1151" s="3"/>
      <c r="AM1151" s="3"/>
      <c r="AN1151" s="3"/>
      <c r="AO1151" s="4"/>
      <c r="AP1151" s="3"/>
      <c r="AQ1151" s="4"/>
      <c r="AR1151" s="4"/>
      <c r="AS1151" s="3"/>
      <c r="AT1151" s="4"/>
      <c r="AU1151" s="3"/>
      <c r="AV1151" s="4"/>
      <c r="AW1151" s="4"/>
      <c r="AX1151" s="4"/>
      <c r="AY1151" s="4"/>
      <c r="AZ1151" s="4"/>
      <c r="BA1151" s="4"/>
      <c r="BB1151" s="4"/>
      <c r="BC1151" s="4"/>
      <c r="BD1151" s="4"/>
      <c r="BE1151" s="4"/>
      <c r="BF1151" s="3"/>
      <c r="BG1151" s="3"/>
      <c r="BH1151" s="3"/>
      <c r="BI1151" s="4"/>
      <c r="BJ1151" s="3"/>
      <c r="BK1151" s="4"/>
      <c r="BL1151" s="4"/>
      <c r="BM1151" s="3"/>
      <c r="BN1151" s="4"/>
      <c r="BO1151" s="4"/>
      <c r="BP1151" s="4"/>
      <c r="BQ1151" s="4"/>
      <c r="BR1151" s="4"/>
      <c r="BS1151" s="4"/>
      <c r="BT1151" s="4"/>
      <c r="BU1151" s="4"/>
      <c r="BV1151" s="4"/>
      <c r="BW1151" s="4"/>
      <c r="BX1151" s="4"/>
      <c r="BY1151" s="4"/>
      <c r="BZ1151" s="4"/>
      <c r="CA1151" s="4"/>
      <c r="CB1151" s="4"/>
      <c r="CC1151" s="4"/>
      <c r="CD1151" s="4"/>
      <c r="CE1151" s="4"/>
      <c r="CF1151" s="4"/>
      <c r="CG1151" s="4"/>
      <c r="CH1151" s="4"/>
      <c r="CI1151" s="4"/>
      <c r="CJ1151" s="4"/>
      <c r="CK1151" s="4"/>
      <c r="CL1151" s="4"/>
      <c r="CM1151" s="4"/>
      <c r="CN1151" s="4"/>
      <c r="CO1151" s="4"/>
      <c r="CP1151" s="4"/>
      <c r="CQ1151" s="4"/>
      <c r="CR1151" s="4"/>
      <c r="CS1151" s="4"/>
      <c r="CT1151" s="4"/>
      <c r="CU1151" s="4"/>
      <c r="CV1151" s="4"/>
      <c r="CW1151" s="4"/>
      <c r="CX1151" s="4"/>
      <c r="CY1151" s="4"/>
      <c r="CZ1151" s="4"/>
      <c r="DA1151" s="4"/>
      <c r="DB1151" s="4"/>
      <c r="DC1151" s="4"/>
      <c r="DD1151" s="4"/>
      <c r="DE1151" s="4"/>
      <c r="DF1151" s="4"/>
      <c r="DG1151" s="4"/>
      <c r="DH1151" s="4"/>
      <c r="DI1151" s="3"/>
      <c r="DJ1151" s="3"/>
      <c r="DK1151" s="8"/>
      <c r="DL1151" s="4"/>
      <c r="DM1151" s="4"/>
      <c r="DN1151" s="4"/>
      <c r="DO1151" s="4"/>
      <c r="DP1151" s="8"/>
      <c r="DQ1151" s="8"/>
      <c r="DR1151" s="8"/>
      <c r="DS1151" s="8"/>
      <c r="DT1151" s="4"/>
      <c r="DU1151" s="4"/>
      <c r="DV1151" s="4"/>
      <c r="DW1151" s="4"/>
      <c r="DX1151" s="4"/>
      <c r="DY1151" s="4"/>
      <c r="DZ1151" s="4"/>
      <c r="EA1151" s="4"/>
      <c r="EB1151" s="4"/>
      <c r="EC1151" s="4"/>
      <c r="ED1151" s="4"/>
      <c r="EE1151" s="4"/>
      <c r="EF1151" s="4"/>
      <c r="EG1151" s="4"/>
      <c r="EH1151" s="4"/>
      <c r="EI1151" s="4"/>
      <c r="EJ1151" s="4"/>
      <c r="EK1151" s="4"/>
      <c r="EL1151" s="4"/>
      <c r="EM1151" s="4"/>
      <c r="EN1151" s="8"/>
      <c r="EO1151" s="8"/>
      <c r="EP1151" s="8"/>
      <c r="EQ1151" s="8"/>
      <c r="ER1151" s="8"/>
      <c r="ES1151" s="8"/>
      <c r="ET1151" s="4"/>
      <c r="EU1151" s="4"/>
      <c r="EV1151" s="4"/>
    </row>
    <row r="1152" spans="1:152" hidden="1">
      <c r="A1152" s="11" t="s">
        <v>9940</v>
      </c>
      <c r="B1152" s="3" t="s">
        <v>8373</v>
      </c>
      <c r="C1152" s="3">
        <v>2019</v>
      </c>
      <c r="D1152" s="3" t="s">
        <v>597</v>
      </c>
      <c r="E1152" s="3" t="s">
        <v>8384</v>
      </c>
      <c r="F1152" s="3">
        <v>1</v>
      </c>
      <c r="G1152" s="3"/>
      <c r="H1152" s="3" t="s">
        <v>8385</v>
      </c>
      <c r="I1152" s="3"/>
      <c r="J1152" s="3"/>
      <c r="K1152" s="3" t="s">
        <v>132</v>
      </c>
      <c r="L1152" s="4"/>
      <c r="M1152" s="3" t="s">
        <v>8382</v>
      </c>
      <c r="T1152" s="3" t="s">
        <v>599</v>
      </c>
      <c r="V1152" s="3"/>
      <c r="W1152" s="4"/>
      <c r="X1152" s="5" t="s">
        <v>602</v>
      </c>
      <c r="Y1152" s="5"/>
      <c r="Z1152" s="3">
        <v>1</v>
      </c>
      <c r="AA1152" s="4"/>
      <c r="AB1152" s="4"/>
      <c r="AE1152" s="3"/>
      <c r="AF1152" s="3"/>
      <c r="AG1152" s="4"/>
      <c r="AH1152" s="4"/>
      <c r="AI1152" s="4"/>
      <c r="AJ1152" s="4"/>
      <c r="AK1152" s="3"/>
      <c r="AL1152" s="3"/>
      <c r="AM1152" s="3"/>
      <c r="AN1152" s="3"/>
      <c r="AO1152" s="4"/>
      <c r="AP1152" s="3"/>
      <c r="AQ1152" s="4"/>
      <c r="AR1152" s="4"/>
      <c r="AS1152" s="3"/>
      <c r="AT1152" s="4"/>
      <c r="AU1152" s="3"/>
      <c r="AV1152" s="4"/>
      <c r="AW1152" s="4"/>
      <c r="AX1152" s="4"/>
      <c r="AY1152" s="4"/>
      <c r="AZ1152" s="4"/>
      <c r="BA1152" s="4"/>
      <c r="BB1152" s="4"/>
      <c r="BC1152" s="4"/>
      <c r="BD1152" s="4"/>
      <c r="BE1152" s="4"/>
      <c r="BF1152" s="3"/>
      <c r="BG1152" s="3"/>
      <c r="BH1152" s="3"/>
      <c r="BI1152" s="4"/>
      <c r="BJ1152" s="3"/>
      <c r="BK1152" s="4"/>
      <c r="BL1152" s="4"/>
      <c r="BM1152" s="3"/>
      <c r="BN1152" s="4"/>
      <c r="BO1152" s="4"/>
      <c r="BP1152" s="4"/>
      <c r="BQ1152" s="4"/>
      <c r="BR1152" s="4"/>
      <c r="BS1152" s="4"/>
      <c r="BT1152" s="4"/>
      <c r="BU1152" s="4"/>
      <c r="BV1152" s="4"/>
      <c r="BW1152" s="4"/>
      <c r="BX1152" s="4"/>
      <c r="BY1152" s="4"/>
      <c r="BZ1152" s="4"/>
      <c r="CA1152" s="4"/>
      <c r="CB1152" s="4"/>
      <c r="CC1152" s="4"/>
      <c r="CD1152" s="4"/>
      <c r="CE1152" s="4"/>
      <c r="CF1152" s="4"/>
      <c r="CG1152" s="4"/>
      <c r="CH1152" s="4"/>
      <c r="CI1152" s="4"/>
      <c r="CJ1152" s="4"/>
      <c r="CK1152" s="4"/>
      <c r="CL1152" s="4"/>
      <c r="CM1152" s="4"/>
      <c r="CN1152" s="4"/>
      <c r="CO1152" s="4"/>
      <c r="CP1152" s="4"/>
      <c r="CQ1152" s="4"/>
      <c r="CR1152" s="4"/>
      <c r="CS1152" s="4"/>
      <c r="CT1152" s="4"/>
      <c r="CU1152" s="4"/>
      <c r="CV1152" s="3"/>
      <c r="CW1152" s="3"/>
      <c r="CX1152" s="8"/>
      <c r="CY1152" s="4"/>
      <c r="CZ1152" s="4"/>
      <c r="DA1152" s="4"/>
      <c r="DB1152" s="4"/>
      <c r="DC1152" s="8"/>
      <c r="DD1152" s="8"/>
      <c r="DE1152" s="8"/>
      <c r="DF1152" s="8"/>
      <c r="DG1152" s="4"/>
      <c r="DH1152" s="4"/>
      <c r="DI1152" s="4"/>
      <c r="DJ1152" s="4"/>
      <c r="DK1152" s="4"/>
      <c r="DL1152" s="4"/>
      <c r="DM1152" s="4"/>
      <c r="DN1152" s="4"/>
      <c r="DO1152" s="4"/>
      <c r="DP1152" s="4"/>
      <c r="DQ1152" s="4"/>
      <c r="DR1152" s="4"/>
      <c r="DS1152" s="4"/>
      <c r="DT1152" s="4"/>
      <c r="DU1152" s="4"/>
      <c r="DV1152" s="4"/>
      <c r="DW1152" s="4"/>
      <c r="DX1152" s="4"/>
      <c r="DY1152" s="4"/>
      <c r="DZ1152" s="4"/>
      <c r="EA1152" s="8"/>
      <c r="EB1152" s="8"/>
      <c r="EC1152" s="8"/>
      <c r="ED1152" s="8"/>
      <c r="EE1152" s="8"/>
      <c r="EF1152" s="8"/>
      <c r="EG1152" s="4"/>
      <c r="EH1152" s="4"/>
      <c r="EI1152" s="4"/>
    </row>
    <row r="1153" spans="1:151" hidden="1">
      <c r="A1153" s="11" t="s">
        <v>9940</v>
      </c>
      <c r="B1153" s="3" t="s">
        <v>8386</v>
      </c>
      <c r="C1153" s="3">
        <v>2017</v>
      </c>
      <c r="D1153" s="3" t="s">
        <v>8387</v>
      </c>
      <c r="E1153" s="3" t="s">
        <v>8388</v>
      </c>
      <c r="F1153" s="3">
        <v>1</v>
      </c>
      <c r="G1153" s="3"/>
      <c r="H1153" s="3" t="s">
        <v>8392</v>
      </c>
      <c r="I1153" s="3"/>
      <c r="J1153" s="3"/>
      <c r="K1153" s="3" t="s">
        <v>8389</v>
      </c>
      <c r="L1153" s="3" t="s">
        <v>8390</v>
      </c>
      <c r="M1153" s="4"/>
      <c r="T1153" s="4"/>
      <c r="V1153" s="3"/>
      <c r="W1153" s="3"/>
      <c r="X1153" s="5" t="s">
        <v>8391</v>
      </c>
      <c r="Y1153" s="5"/>
      <c r="Z1153" s="3">
        <v>1</v>
      </c>
      <c r="AA1153" s="4"/>
      <c r="AB1153" s="4"/>
      <c r="AE1153" s="3"/>
      <c r="AF1153" s="3"/>
      <c r="AG1153" s="4"/>
      <c r="AH1153" s="3"/>
      <c r="AI1153" s="4"/>
      <c r="AJ1153" s="4"/>
      <c r="AK1153" s="3"/>
      <c r="AL1153" s="3"/>
      <c r="AM1153" s="3"/>
      <c r="AN1153" s="3"/>
      <c r="AO1153" s="4"/>
      <c r="AP1153" s="3"/>
      <c r="AQ1153" s="4"/>
      <c r="AR1153" s="4"/>
      <c r="AS1153" s="4"/>
      <c r="AT1153" s="4"/>
      <c r="AU1153" s="4"/>
      <c r="AV1153" s="4"/>
      <c r="AW1153" s="3"/>
      <c r="AX1153" s="4"/>
      <c r="AY1153" s="4"/>
      <c r="AZ1153" s="3"/>
      <c r="BA1153" s="3"/>
      <c r="BB1153" s="4"/>
      <c r="BC1153" s="4"/>
      <c r="BD1153" s="3"/>
      <c r="BE1153" s="3"/>
      <c r="BF1153" s="3"/>
      <c r="BG1153" s="4"/>
      <c r="BH1153" s="4"/>
      <c r="BI1153" s="4"/>
      <c r="BJ1153" s="4"/>
      <c r="BK1153" s="4"/>
      <c r="BL1153" s="3"/>
      <c r="BM1153" s="3"/>
      <c r="BN1153" s="4"/>
      <c r="BO1153" s="4"/>
      <c r="BP1153" s="4"/>
      <c r="BQ1153" s="4"/>
      <c r="BR1153" s="4"/>
      <c r="BS1153" s="4"/>
      <c r="BT1153" s="4"/>
      <c r="BU1153" s="4"/>
      <c r="BV1153" s="4"/>
      <c r="BW1153" s="4"/>
      <c r="BX1153" s="4"/>
      <c r="BY1153" s="4"/>
      <c r="BZ1153" s="4"/>
      <c r="CA1153" s="4"/>
      <c r="CB1153" s="4"/>
      <c r="CC1153" s="4"/>
      <c r="CD1153" s="4"/>
      <c r="CE1153" s="4"/>
      <c r="CF1153" s="4"/>
      <c r="CG1153" s="4"/>
      <c r="CH1153" s="4"/>
      <c r="CI1153" s="4"/>
      <c r="CJ1153" s="4"/>
      <c r="CK1153" s="4"/>
      <c r="CL1153" s="4"/>
      <c r="CM1153" s="4"/>
      <c r="CN1153" s="4"/>
      <c r="CO1153" s="4"/>
      <c r="CP1153" s="4"/>
      <c r="CQ1153" s="4"/>
      <c r="CR1153" s="4"/>
      <c r="CS1153" s="4"/>
      <c r="CT1153" s="4"/>
      <c r="CU1153" s="4"/>
      <c r="CV1153" s="4"/>
      <c r="CW1153" s="4"/>
      <c r="CX1153" s="4"/>
      <c r="CY1153" s="4"/>
      <c r="CZ1153" s="4"/>
      <c r="DA1153" s="4"/>
      <c r="DB1153" s="4"/>
      <c r="DC1153" s="4"/>
      <c r="DD1153" s="4"/>
      <c r="DE1153" s="4"/>
      <c r="DF1153" s="3"/>
      <c r="DG1153" s="3"/>
      <c r="DH1153" s="8"/>
      <c r="DI1153" s="4"/>
      <c r="DJ1153" s="4"/>
      <c r="DK1153" s="4"/>
      <c r="DL1153" s="4"/>
      <c r="DM1153" s="8"/>
      <c r="DN1153" s="8"/>
      <c r="DO1153" s="8"/>
      <c r="DP1153" s="8"/>
      <c r="DQ1153" s="4"/>
      <c r="DR1153" s="4"/>
      <c r="DS1153" s="4"/>
      <c r="DT1153" s="4"/>
      <c r="DU1153" s="4"/>
      <c r="DV1153" s="4"/>
      <c r="DW1153" s="4"/>
      <c r="DX1153" s="4"/>
      <c r="DY1153" s="4"/>
      <c r="DZ1153" s="4"/>
      <c r="EA1153" s="4"/>
      <c r="EB1153" s="4"/>
      <c r="EC1153" s="4"/>
      <c r="ED1153" s="4"/>
      <c r="EE1153" s="4"/>
      <c r="EF1153" s="4"/>
      <c r="EG1153" s="4"/>
      <c r="EH1153" s="4"/>
      <c r="EI1153" s="4"/>
      <c r="EJ1153" s="4"/>
      <c r="EK1153" s="8"/>
      <c r="EL1153" s="3"/>
      <c r="EM1153" s="3"/>
      <c r="EN1153" s="3"/>
      <c r="EO1153" s="3"/>
      <c r="EP1153" s="3"/>
      <c r="EQ1153" s="4"/>
      <c r="ER1153" s="4"/>
      <c r="ES1153" s="3"/>
    </row>
    <row r="1154" spans="1:151" hidden="1">
      <c r="A1154" s="11" t="s">
        <v>9940</v>
      </c>
      <c r="B1154" s="3" t="s">
        <v>8373</v>
      </c>
      <c r="C1154" s="3">
        <v>2015</v>
      </c>
      <c r="D1154" s="3" t="s">
        <v>583</v>
      </c>
      <c r="E1154" s="3" t="s">
        <v>8394</v>
      </c>
      <c r="F1154" s="3">
        <v>1</v>
      </c>
      <c r="G1154" s="3"/>
      <c r="H1154" s="3" t="s">
        <v>8396</v>
      </c>
      <c r="I1154" s="3"/>
      <c r="J1154" s="3"/>
      <c r="K1154" s="3" t="s">
        <v>155</v>
      </c>
      <c r="L1154" s="4"/>
      <c r="M1154" s="3" t="s">
        <v>8395</v>
      </c>
      <c r="T1154" s="3" t="s">
        <v>585</v>
      </c>
      <c r="V1154" s="3"/>
      <c r="W1154" s="4"/>
      <c r="X1154" s="5" t="s">
        <v>588</v>
      </c>
      <c r="Y1154" s="5"/>
      <c r="Z1154" s="3">
        <v>1</v>
      </c>
      <c r="AA1154" s="4"/>
      <c r="AB1154" s="4"/>
      <c r="AE1154" s="3"/>
      <c r="AF1154" s="3"/>
      <c r="AG1154" s="4"/>
      <c r="AH1154" s="4"/>
      <c r="AI1154" s="4"/>
      <c r="AJ1154" s="4"/>
      <c r="AK1154" s="3"/>
      <c r="AL1154" s="3"/>
      <c r="AM1154" s="3"/>
      <c r="AN1154" s="3"/>
      <c r="AO1154" s="4"/>
      <c r="AP1154" s="3"/>
      <c r="AQ1154" s="4"/>
      <c r="AR1154" s="10"/>
      <c r="AS1154" s="3"/>
      <c r="AT1154" s="4"/>
      <c r="AU1154" s="3"/>
      <c r="AV1154" s="4"/>
      <c r="AW1154" s="4"/>
      <c r="AX1154" s="4"/>
      <c r="AY1154" s="4"/>
      <c r="AZ1154" s="4"/>
      <c r="BA1154" s="4"/>
      <c r="BB1154" s="4"/>
      <c r="BC1154" s="4"/>
      <c r="BD1154" s="4"/>
      <c r="BE1154" s="4"/>
      <c r="BF1154" s="3"/>
      <c r="BG1154" s="3"/>
      <c r="BH1154" s="3"/>
      <c r="BI1154" s="4"/>
      <c r="BJ1154" s="3"/>
      <c r="BK1154" s="4"/>
      <c r="BL1154" s="4"/>
      <c r="BM1154" s="4"/>
      <c r="BN1154" s="3"/>
      <c r="BO1154" s="4"/>
      <c r="BP1154" s="4"/>
      <c r="BQ1154" s="4"/>
      <c r="BR1154" s="4"/>
      <c r="BS1154" s="4"/>
      <c r="BT1154" s="4"/>
      <c r="BU1154" s="4"/>
      <c r="BV1154" s="4"/>
      <c r="BW1154" s="4"/>
      <c r="BX1154" s="4"/>
      <c r="BY1154" s="4"/>
      <c r="BZ1154" s="4"/>
      <c r="CA1154" s="4"/>
      <c r="CB1154" s="4"/>
      <c r="CC1154" s="4"/>
      <c r="CD1154" s="4"/>
      <c r="CE1154" s="4"/>
      <c r="CF1154" s="4"/>
      <c r="CG1154" s="4"/>
      <c r="CH1154" s="4"/>
      <c r="CI1154" s="4"/>
      <c r="CJ1154" s="4"/>
      <c r="CK1154" s="3"/>
      <c r="CL1154" s="3"/>
      <c r="CM1154" s="8"/>
      <c r="CN1154" s="4"/>
      <c r="CO1154" s="4"/>
      <c r="CP1154" s="4"/>
      <c r="CQ1154" s="4"/>
      <c r="CR1154" s="8"/>
      <c r="CS1154" s="8"/>
      <c r="CT1154" s="8"/>
      <c r="CU1154" s="8"/>
      <c r="CV1154" s="4"/>
      <c r="CW1154" s="4"/>
      <c r="CX1154" s="4"/>
      <c r="CY1154" s="4"/>
      <c r="CZ1154" s="4"/>
      <c r="DA1154" s="4"/>
      <c r="DB1154" s="4"/>
      <c r="DC1154" s="4"/>
      <c r="DD1154" s="4"/>
      <c r="DE1154" s="4"/>
      <c r="DF1154" s="4"/>
      <c r="DG1154" s="4"/>
      <c r="DH1154" s="4"/>
      <c r="DI1154" s="4"/>
      <c r="DJ1154" s="4"/>
      <c r="DK1154" s="4"/>
      <c r="DL1154" s="4"/>
      <c r="DM1154" s="4"/>
      <c r="DN1154" s="4"/>
      <c r="DO1154" s="4"/>
      <c r="DP1154" s="8"/>
      <c r="DQ1154" s="8"/>
      <c r="DR1154" s="8"/>
      <c r="DS1154" s="8"/>
      <c r="DT1154" s="8"/>
      <c r="DU1154" s="8"/>
      <c r="DV1154" s="4"/>
      <c r="DW1154" s="4"/>
      <c r="DX1154" s="4"/>
    </row>
    <row r="1155" spans="1:151" hidden="1">
      <c r="A1155" s="11" t="s">
        <v>9940</v>
      </c>
      <c r="B1155" s="3" t="s">
        <v>8373</v>
      </c>
      <c r="C1155" s="3">
        <v>2019</v>
      </c>
      <c r="D1155" s="3" t="s">
        <v>7793</v>
      </c>
      <c r="E1155" s="3" t="s">
        <v>8397</v>
      </c>
      <c r="F1155" s="3">
        <v>1</v>
      </c>
      <c r="G1155" s="3"/>
      <c r="H1155" s="3" t="s">
        <v>8398</v>
      </c>
      <c r="I1155" s="3"/>
      <c r="J1155" s="3"/>
      <c r="K1155" s="3" t="s">
        <v>132</v>
      </c>
      <c r="L1155" s="4"/>
      <c r="M1155" s="3" t="s">
        <v>8382</v>
      </c>
      <c r="T1155" s="3" t="s">
        <v>7795</v>
      </c>
      <c r="V1155" s="3"/>
      <c r="W1155" s="3"/>
      <c r="X1155" s="5" t="s">
        <v>7798</v>
      </c>
      <c r="Y1155" s="5"/>
      <c r="Z1155" s="3">
        <v>1</v>
      </c>
      <c r="AA1155" s="4"/>
      <c r="AB1155" s="4"/>
      <c r="AE1155" s="3"/>
      <c r="AF1155" s="3"/>
      <c r="AG1155" s="4"/>
      <c r="AH1155" s="4"/>
      <c r="AI1155" s="4"/>
      <c r="AJ1155" s="4"/>
      <c r="AK1155" s="3"/>
      <c r="AL1155" s="3"/>
      <c r="AM1155" s="3"/>
      <c r="AN1155" s="3"/>
      <c r="AO1155" s="4"/>
      <c r="AP1155" s="3"/>
      <c r="AQ1155" s="4"/>
      <c r="AR1155" s="4"/>
      <c r="AS1155" s="3"/>
      <c r="AT1155" s="4"/>
      <c r="AU1155" s="3"/>
      <c r="AV1155" s="4"/>
      <c r="AW1155" s="4"/>
      <c r="AX1155" s="4"/>
      <c r="AY1155" s="4"/>
      <c r="AZ1155" s="4"/>
      <c r="BA1155" s="4"/>
      <c r="BB1155" s="4"/>
      <c r="BC1155" s="4"/>
      <c r="BD1155" s="4"/>
      <c r="BE1155" s="4"/>
      <c r="BF1155" s="3"/>
      <c r="BG1155" s="3"/>
      <c r="BH1155" s="3"/>
      <c r="BI1155" s="4"/>
      <c r="BJ1155" s="3"/>
      <c r="BK1155" s="4"/>
      <c r="BL1155" s="4"/>
      <c r="BM1155" s="3"/>
      <c r="BN1155" s="4"/>
      <c r="BO1155" s="4"/>
      <c r="BP1155" s="4"/>
      <c r="BQ1155" s="4"/>
      <c r="BR1155" s="4"/>
      <c r="BS1155" s="4"/>
      <c r="BT1155" s="4"/>
      <c r="BU1155" s="4"/>
      <c r="BV1155" s="4"/>
      <c r="BW1155" s="4"/>
      <c r="BX1155" s="4"/>
      <c r="BY1155" s="4"/>
      <c r="BZ1155" s="4"/>
      <c r="CA1155" s="4"/>
      <c r="CB1155" s="4"/>
      <c r="CC1155" s="4"/>
      <c r="CD1155" s="4"/>
      <c r="CE1155" s="4"/>
      <c r="CF1155" s="4"/>
      <c r="CG1155" s="4"/>
      <c r="CH1155" s="4"/>
      <c r="CI1155" s="4"/>
      <c r="CJ1155" s="4"/>
      <c r="CK1155" s="4"/>
      <c r="CL1155" s="4"/>
      <c r="CM1155" s="4"/>
      <c r="CN1155" s="4"/>
      <c r="CO1155" s="4"/>
      <c r="CP1155" s="4"/>
      <c r="CQ1155" s="4"/>
      <c r="CR1155" s="4"/>
      <c r="CS1155" s="4"/>
      <c r="CT1155" s="3"/>
      <c r="CU1155" s="3"/>
      <c r="CV1155" s="8"/>
      <c r="CW1155" s="4"/>
      <c r="CX1155" s="4"/>
      <c r="CY1155" s="4"/>
      <c r="CZ1155" s="4"/>
      <c r="DA1155" s="8"/>
      <c r="DB1155" s="8"/>
      <c r="DC1155" s="8"/>
      <c r="DD1155" s="8"/>
      <c r="DE1155" s="4"/>
      <c r="DF1155" s="4"/>
      <c r="DG1155" s="4"/>
      <c r="DH1155" s="4"/>
      <c r="DI1155" s="4"/>
      <c r="DJ1155" s="4"/>
      <c r="DK1155" s="4"/>
      <c r="DL1155" s="4"/>
      <c r="DM1155" s="4"/>
      <c r="DN1155" s="4"/>
      <c r="DO1155" s="4"/>
      <c r="DP1155" s="4"/>
      <c r="DQ1155" s="4"/>
      <c r="DR1155" s="4"/>
      <c r="DS1155" s="4"/>
      <c r="DT1155" s="4"/>
      <c r="DU1155" s="4"/>
      <c r="DV1155" s="4"/>
      <c r="DW1155" s="4"/>
      <c r="DX1155" s="4"/>
      <c r="DY1155" s="8"/>
      <c r="DZ1155" s="8"/>
      <c r="EA1155" s="8"/>
      <c r="EB1155" s="8"/>
      <c r="EC1155" s="8"/>
      <c r="ED1155" s="8"/>
      <c r="EE1155" s="4"/>
      <c r="EF1155" s="4"/>
      <c r="EG1155" s="4"/>
    </row>
    <row r="1156" spans="1:151" hidden="1">
      <c r="A1156" s="11" t="s">
        <v>9940</v>
      </c>
      <c r="B1156" s="3" t="s">
        <v>8373</v>
      </c>
      <c r="C1156" s="3">
        <v>2017</v>
      </c>
      <c r="D1156" s="3" t="s">
        <v>1330</v>
      </c>
      <c r="E1156" s="3" t="s">
        <v>8399</v>
      </c>
      <c r="F1156" s="3">
        <v>1</v>
      </c>
      <c r="G1156" s="3"/>
      <c r="H1156" s="3" t="s">
        <v>8402</v>
      </c>
      <c r="I1156" s="3"/>
      <c r="J1156" s="3"/>
      <c r="K1156" s="3" t="s">
        <v>1331</v>
      </c>
      <c r="L1156" s="4"/>
      <c r="M1156" s="3" t="s">
        <v>8400</v>
      </c>
      <c r="T1156" s="3" t="s">
        <v>8401</v>
      </c>
      <c r="V1156" s="3"/>
      <c r="W1156" s="4"/>
      <c r="X1156" s="5" t="s">
        <v>1336</v>
      </c>
      <c r="Y1156" s="5"/>
      <c r="Z1156" s="3">
        <v>1</v>
      </c>
      <c r="AA1156" s="4"/>
      <c r="AB1156" s="3"/>
      <c r="AE1156" s="3"/>
      <c r="AF1156" s="3"/>
      <c r="AG1156" s="4"/>
      <c r="AH1156" s="4"/>
      <c r="AI1156" s="4"/>
      <c r="AJ1156" s="4"/>
      <c r="AK1156" s="3"/>
      <c r="AL1156" s="7"/>
      <c r="AM1156" s="3"/>
      <c r="AN1156" s="3"/>
      <c r="AO1156" s="4"/>
      <c r="AP1156" s="4"/>
      <c r="AQ1156" s="4"/>
      <c r="AR1156" s="3"/>
      <c r="AS1156" s="3"/>
      <c r="AT1156" s="4"/>
      <c r="AU1156" s="3"/>
      <c r="AV1156" s="4"/>
      <c r="AW1156" s="4"/>
      <c r="AX1156" s="4"/>
      <c r="AY1156" s="4"/>
      <c r="AZ1156" s="4"/>
      <c r="BA1156" s="4"/>
      <c r="BB1156" s="4"/>
      <c r="BC1156" s="4"/>
      <c r="BD1156" s="4"/>
      <c r="BE1156" s="4"/>
      <c r="BF1156" s="3"/>
      <c r="BG1156" s="3"/>
      <c r="BH1156" s="3"/>
      <c r="BI1156" s="4"/>
      <c r="BJ1156" s="3"/>
      <c r="BK1156" s="4"/>
      <c r="BL1156" s="4"/>
      <c r="BM1156" s="3"/>
      <c r="BN1156" s="4"/>
      <c r="BO1156" s="4"/>
      <c r="BP1156" s="4"/>
      <c r="BQ1156" s="4"/>
      <c r="BR1156" s="4"/>
      <c r="BS1156" s="4"/>
      <c r="BT1156" s="4"/>
      <c r="BU1156" s="4"/>
      <c r="BV1156" s="4"/>
      <c r="BW1156" s="4"/>
      <c r="BX1156" s="4"/>
      <c r="BY1156" s="4"/>
      <c r="BZ1156" s="4"/>
      <c r="CA1156" s="4"/>
      <c r="CB1156" s="4"/>
      <c r="CC1156" s="4"/>
      <c r="CD1156" s="4"/>
      <c r="CE1156" s="4"/>
      <c r="CF1156" s="4"/>
      <c r="CG1156" s="4"/>
      <c r="CH1156" s="4"/>
      <c r="CI1156" s="4"/>
      <c r="CJ1156" s="4"/>
      <c r="CK1156" s="4"/>
      <c r="CL1156" s="4"/>
      <c r="CM1156" s="4"/>
      <c r="CN1156" s="4"/>
      <c r="CO1156" s="4"/>
      <c r="CP1156" s="4"/>
      <c r="CQ1156" s="4"/>
      <c r="CR1156" s="4"/>
      <c r="CS1156" s="4"/>
      <c r="CT1156" s="4"/>
      <c r="CU1156" s="4"/>
      <c r="CV1156" s="4"/>
      <c r="CW1156" s="4"/>
      <c r="CX1156" s="4"/>
      <c r="CY1156" s="4"/>
      <c r="CZ1156" s="4"/>
      <c r="DA1156" s="4"/>
      <c r="DB1156" s="4"/>
      <c r="DC1156" s="4"/>
      <c r="DD1156" s="4"/>
      <c r="DE1156" s="4"/>
      <c r="DF1156" s="4"/>
      <c r="DG1156" s="4"/>
      <c r="DH1156" s="3"/>
      <c r="DI1156" s="3"/>
      <c r="DJ1156" s="8"/>
      <c r="DK1156" s="4"/>
      <c r="DL1156" s="4"/>
      <c r="DM1156" s="4"/>
      <c r="DN1156" s="4"/>
      <c r="DO1156" s="8"/>
      <c r="DP1156" s="8"/>
      <c r="DQ1156" s="8"/>
      <c r="DR1156" s="8"/>
      <c r="DS1156" s="4"/>
      <c r="DT1156" s="4"/>
      <c r="DU1156" s="4"/>
      <c r="DV1156" s="4"/>
      <c r="DW1156" s="4"/>
      <c r="DX1156" s="4"/>
      <c r="DY1156" s="4"/>
      <c r="DZ1156" s="4"/>
      <c r="EA1156" s="4"/>
      <c r="EB1156" s="4"/>
      <c r="EC1156" s="4"/>
      <c r="ED1156" s="4"/>
      <c r="EE1156" s="4"/>
      <c r="EF1156" s="4"/>
      <c r="EG1156" s="4"/>
      <c r="EH1156" s="4"/>
      <c r="EI1156" s="4"/>
      <c r="EJ1156" s="4"/>
      <c r="EK1156" s="4"/>
      <c r="EL1156" s="4"/>
      <c r="EM1156" s="8"/>
      <c r="EN1156" s="14"/>
      <c r="EO1156" s="8"/>
      <c r="EP1156" s="8"/>
      <c r="EQ1156" s="8"/>
      <c r="ER1156" s="8"/>
      <c r="ES1156" s="4"/>
      <c r="ET1156" s="4"/>
      <c r="EU1156" s="4"/>
    </row>
    <row r="1157" spans="1:151" hidden="1">
      <c r="A1157" s="11" t="s">
        <v>9940</v>
      </c>
      <c r="B1157" s="3" t="s">
        <v>8373</v>
      </c>
      <c r="C1157" s="3">
        <v>2018</v>
      </c>
      <c r="D1157" s="3" t="s">
        <v>8403</v>
      </c>
      <c r="E1157" s="3" t="s">
        <v>8404</v>
      </c>
      <c r="F1157" s="3">
        <v>1</v>
      </c>
      <c r="G1157" s="3"/>
      <c r="H1157" s="3" t="s">
        <v>8408</v>
      </c>
      <c r="I1157" s="3"/>
      <c r="J1157" s="3"/>
      <c r="K1157" s="3" t="s">
        <v>8405</v>
      </c>
      <c r="L1157" s="4"/>
      <c r="M1157" s="12">
        <v>33239</v>
      </c>
      <c r="T1157" s="3" t="s">
        <v>8406</v>
      </c>
      <c r="V1157" s="3"/>
      <c r="W1157" s="3"/>
      <c r="X1157" s="5" t="s">
        <v>8407</v>
      </c>
      <c r="Y1157" s="5"/>
      <c r="Z1157" s="3">
        <v>1</v>
      </c>
      <c r="AA1157" s="4"/>
      <c r="AB1157" s="4"/>
      <c r="AE1157" s="3"/>
      <c r="AF1157" s="3"/>
      <c r="AG1157" s="4"/>
      <c r="AH1157" s="4"/>
      <c r="AI1157" s="4"/>
      <c r="AJ1157" s="4"/>
      <c r="AK1157" s="3"/>
      <c r="AL1157" s="3"/>
      <c r="AM1157" s="3"/>
      <c r="AN1157" s="3"/>
      <c r="AO1157" s="4"/>
      <c r="AP1157" s="3"/>
      <c r="AQ1157" s="4"/>
      <c r="AR1157" s="4"/>
      <c r="AS1157" s="3"/>
      <c r="AT1157" s="4"/>
      <c r="AU1157" s="3"/>
      <c r="AV1157" s="4"/>
      <c r="AW1157" s="4"/>
      <c r="AX1157" s="4"/>
      <c r="AY1157" s="4"/>
      <c r="AZ1157" s="4"/>
      <c r="BA1157" s="4"/>
      <c r="BB1157" s="4"/>
      <c r="BC1157" s="4"/>
      <c r="BD1157" s="4"/>
      <c r="BE1157" s="4"/>
      <c r="BF1157" s="3"/>
      <c r="BG1157" s="3"/>
      <c r="BH1157" s="3"/>
      <c r="BI1157" s="4"/>
      <c r="BJ1157" s="3"/>
      <c r="BK1157" s="4"/>
      <c r="BL1157" s="4"/>
      <c r="BM1157" s="3"/>
      <c r="BN1157" s="4"/>
      <c r="BO1157" s="4"/>
      <c r="BP1157" s="4"/>
      <c r="BQ1157" s="4"/>
      <c r="BR1157" s="4"/>
      <c r="BS1157" s="4"/>
      <c r="BT1157" s="4"/>
      <c r="BU1157" s="4"/>
      <c r="BV1157" s="4"/>
      <c r="BW1157" s="4"/>
      <c r="BX1157" s="4"/>
      <c r="BY1157" s="4"/>
      <c r="BZ1157" s="4"/>
      <c r="CA1157" s="4"/>
      <c r="CB1157" s="4"/>
      <c r="CC1157" s="4"/>
      <c r="CD1157" s="4"/>
      <c r="CE1157" s="4"/>
      <c r="CF1157" s="4"/>
      <c r="CG1157" s="4"/>
      <c r="CH1157" s="4"/>
      <c r="CI1157" s="4"/>
      <c r="CJ1157" s="4"/>
      <c r="CK1157" s="4"/>
      <c r="CL1157" s="4"/>
      <c r="CM1157" s="4"/>
      <c r="CN1157" s="4"/>
      <c r="CO1157" s="4"/>
      <c r="CP1157" s="4"/>
      <c r="CQ1157" s="4"/>
      <c r="CR1157" s="4"/>
      <c r="CS1157" s="4"/>
      <c r="CT1157" s="4"/>
      <c r="CU1157" s="4"/>
      <c r="CV1157" s="4"/>
      <c r="CW1157" s="4"/>
      <c r="CX1157" s="4"/>
      <c r="CY1157" s="4"/>
      <c r="CZ1157" s="4"/>
      <c r="DA1157" s="4"/>
      <c r="DB1157" s="4"/>
      <c r="DC1157" s="4"/>
      <c r="DD1157" s="4"/>
      <c r="DE1157" s="4"/>
      <c r="DF1157" s="3"/>
      <c r="DG1157" s="3"/>
      <c r="DH1157" s="8"/>
      <c r="DI1157" s="4"/>
      <c r="DJ1157" s="4"/>
      <c r="DK1157" s="4"/>
      <c r="DL1157" s="4"/>
      <c r="DM1157" s="8"/>
      <c r="DN1157" s="8"/>
      <c r="DO1157" s="8"/>
      <c r="DP1157" s="8"/>
      <c r="DQ1157" s="4"/>
      <c r="DR1157" s="4"/>
      <c r="DS1157" s="4"/>
      <c r="DT1157" s="4"/>
      <c r="DU1157" s="4"/>
      <c r="DV1157" s="4"/>
      <c r="DW1157" s="4"/>
      <c r="DX1157" s="4"/>
      <c r="DY1157" s="4"/>
      <c r="DZ1157" s="4"/>
      <c r="EA1157" s="4"/>
      <c r="EB1157" s="4"/>
      <c r="EC1157" s="4"/>
      <c r="ED1157" s="4"/>
      <c r="EE1157" s="4"/>
      <c r="EF1157" s="4"/>
      <c r="EG1157" s="4"/>
      <c r="EH1157" s="4"/>
      <c r="EI1157" s="4"/>
      <c r="EJ1157" s="4"/>
      <c r="EK1157" s="8"/>
      <c r="EL1157" s="8"/>
      <c r="EM1157" s="8"/>
      <c r="EN1157" s="8"/>
      <c r="EO1157" s="8"/>
      <c r="EP1157" s="8"/>
      <c r="EQ1157" s="4"/>
      <c r="ER1157" s="4"/>
      <c r="ES1157" s="4"/>
    </row>
    <row r="1158" spans="1:151" hidden="1">
      <c r="A1158" s="11" t="s">
        <v>9940</v>
      </c>
      <c r="B1158" s="3" t="s">
        <v>8373</v>
      </c>
      <c r="C1158" s="3">
        <v>2019</v>
      </c>
      <c r="D1158" s="3" t="s">
        <v>477</v>
      </c>
      <c r="E1158" s="3" t="s">
        <v>8409</v>
      </c>
      <c r="F1158" s="3">
        <v>1</v>
      </c>
      <c r="G1158" s="3"/>
      <c r="H1158" s="3" t="s">
        <v>481</v>
      </c>
      <c r="I1158" s="3"/>
      <c r="J1158" s="3"/>
      <c r="K1158" s="3" t="s">
        <v>132</v>
      </c>
      <c r="L1158" s="4"/>
      <c r="M1158" s="3" t="s">
        <v>8382</v>
      </c>
      <c r="T1158" s="3" t="s">
        <v>479</v>
      </c>
      <c r="V1158" s="3"/>
      <c r="W1158" s="4"/>
      <c r="X1158" s="5" t="s">
        <v>482</v>
      </c>
      <c r="Y1158" s="5"/>
      <c r="Z1158" s="3">
        <v>1</v>
      </c>
      <c r="AA1158" s="4"/>
      <c r="AB1158" s="4"/>
      <c r="AE1158" s="3"/>
      <c r="AF1158" s="3"/>
      <c r="AG1158" s="4"/>
      <c r="AH1158" s="4"/>
      <c r="AI1158" s="4"/>
      <c r="AJ1158" s="4"/>
      <c r="AK1158" s="3"/>
      <c r="AL1158" s="3"/>
      <c r="AM1158" s="3"/>
      <c r="AN1158" s="3"/>
      <c r="AO1158" s="4"/>
      <c r="AP1158" s="3"/>
      <c r="AQ1158" s="4"/>
      <c r="AR1158" s="4"/>
      <c r="AS1158" s="3"/>
      <c r="AT1158" s="4"/>
      <c r="AU1158" s="3"/>
      <c r="AV1158" s="4"/>
      <c r="AW1158" s="4"/>
      <c r="AX1158" s="4"/>
      <c r="AY1158" s="4"/>
      <c r="AZ1158" s="4"/>
      <c r="BA1158" s="4"/>
      <c r="BB1158" s="4"/>
      <c r="BC1158" s="4"/>
      <c r="BD1158" s="4"/>
      <c r="BE1158" s="4"/>
      <c r="BF1158" s="3"/>
      <c r="BG1158" s="3"/>
      <c r="BH1158" s="3"/>
      <c r="BI1158" s="4"/>
      <c r="BJ1158" s="3"/>
      <c r="BK1158" s="4"/>
      <c r="BL1158" s="4"/>
      <c r="BM1158" s="3"/>
      <c r="BN1158" s="4"/>
      <c r="BO1158" s="4"/>
      <c r="BP1158" s="4"/>
      <c r="BQ1158" s="4"/>
      <c r="BR1158" s="4"/>
      <c r="BS1158" s="4"/>
      <c r="BT1158" s="4"/>
      <c r="BU1158" s="4"/>
      <c r="BV1158" s="4"/>
      <c r="BW1158" s="4"/>
      <c r="BX1158" s="4"/>
      <c r="BY1158" s="4"/>
      <c r="BZ1158" s="4"/>
      <c r="CA1158" s="4"/>
      <c r="CB1158" s="4"/>
      <c r="CC1158" s="4"/>
      <c r="CD1158" s="4"/>
      <c r="CE1158" s="4"/>
      <c r="CF1158" s="4"/>
      <c r="CG1158" s="4"/>
      <c r="CH1158" s="4"/>
      <c r="CI1158" s="4"/>
      <c r="CJ1158" s="4"/>
      <c r="CK1158" s="4"/>
      <c r="CL1158" s="4"/>
      <c r="CM1158" s="4"/>
      <c r="CN1158" s="4"/>
      <c r="CO1158" s="4"/>
      <c r="CP1158" s="4"/>
      <c r="CQ1158" s="4"/>
      <c r="CR1158" s="4"/>
      <c r="CS1158" s="4"/>
      <c r="CT1158" s="4"/>
      <c r="CU1158" s="4"/>
      <c r="CV1158" s="4"/>
      <c r="CW1158" s="4"/>
      <c r="CX1158" s="4"/>
      <c r="CY1158" s="4"/>
      <c r="CZ1158" s="4"/>
      <c r="DA1158" s="3"/>
      <c r="DB1158" s="3"/>
      <c r="DC1158" s="8"/>
      <c r="DD1158" s="4"/>
      <c r="DE1158" s="4"/>
      <c r="DF1158" s="4"/>
      <c r="DG1158" s="4"/>
      <c r="DH1158" s="8"/>
      <c r="DI1158" s="8"/>
      <c r="DJ1158" s="8"/>
      <c r="DK1158" s="8"/>
      <c r="DL1158" s="4"/>
      <c r="DM1158" s="4"/>
      <c r="DN1158" s="4"/>
      <c r="DO1158" s="4"/>
      <c r="DP1158" s="4"/>
      <c r="DQ1158" s="4"/>
      <c r="DR1158" s="4"/>
      <c r="DS1158" s="4"/>
      <c r="DT1158" s="4"/>
      <c r="DU1158" s="4"/>
      <c r="DV1158" s="4"/>
      <c r="DW1158" s="4"/>
      <c r="DX1158" s="4"/>
      <c r="DY1158" s="4"/>
      <c r="DZ1158" s="4"/>
      <c r="EA1158" s="4"/>
      <c r="EB1158" s="4"/>
      <c r="EC1158" s="4"/>
      <c r="ED1158" s="4"/>
      <c r="EE1158" s="4"/>
      <c r="EF1158" s="8"/>
      <c r="EG1158" s="8"/>
      <c r="EH1158" s="8"/>
      <c r="EI1158" s="8"/>
      <c r="EJ1158" s="8"/>
      <c r="EK1158" s="8"/>
      <c r="EL1158" s="4"/>
      <c r="EM1158" s="4"/>
      <c r="EN1158" s="4"/>
    </row>
    <row r="1159" spans="1:151" hidden="1">
      <c r="A1159" s="11" t="s">
        <v>9940</v>
      </c>
      <c r="B1159" s="3" t="s">
        <v>8373</v>
      </c>
      <c r="C1159" s="3">
        <v>2019</v>
      </c>
      <c r="D1159" s="3" t="s">
        <v>9238</v>
      </c>
      <c r="E1159" s="3" t="s">
        <v>9239</v>
      </c>
      <c r="F1159" s="3">
        <v>1</v>
      </c>
      <c r="G1159" s="3"/>
      <c r="H1159" s="3" t="s">
        <v>9244</v>
      </c>
      <c r="I1159" s="3"/>
      <c r="J1159" s="3"/>
      <c r="K1159" s="3" t="s">
        <v>9240</v>
      </c>
      <c r="L1159" s="4"/>
      <c r="M1159" s="3" t="s">
        <v>9241</v>
      </c>
      <c r="T1159" s="3" t="s">
        <v>9242</v>
      </c>
      <c r="V1159" s="3"/>
      <c r="W1159" s="3"/>
      <c r="X1159" s="5" t="s">
        <v>9243</v>
      </c>
      <c r="Y1159" s="5"/>
      <c r="Z1159" s="3">
        <v>0</v>
      </c>
      <c r="AA1159" s="3" t="s">
        <v>9245</v>
      </c>
      <c r="AB1159" s="4"/>
      <c r="AE1159" s="3"/>
      <c r="AF1159" s="4"/>
      <c r="AG1159" s="4"/>
      <c r="AH1159" s="4"/>
      <c r="AI1159" s="4"/>
      <c r="AJ1159" s="4"/>
      <c r="AK1159" s="3"/>
      <c r="AL1159" s="3"/>
      <c r="AM1159" s="3"/>
      <c r="AN1159" s="3"/>
      <c r="AO1159" s="4"/>
      <c r="AP1159" s="4"/>
      <c r="AQ1159" s="4"/>
      <c r="AR1159" s="4"/>
      <c r="AS1159" s="3"/>
      <c r="AT1159" s="4"/>
      <c r="AU1159" s="3"/>
      <c r="AV1159" s="4"/>
      <c r="AW1159" s="4"/>
      <c r="AX1159" s="4"/>
      <c r="AY1159" s="4"/>
      <c r="AZ1159" s="4"/>
      <c r="BA1159" s="4"/>
      <c r="BB1159" s="4"/>
      <c r="BC1159" s="4"/>
      <c r="BD1159" s="4"/>
      <c r="BE1159" s="4"/>
      <c r="BF1159" s="3"/>
      <c r="BG1159" s="3"/>
      <c r="BH1159" s="3"/>
      <c r="BI1159" s="4"/>
      <c r="BJ1159" s="3"/>
      <c r="BK1159" s="4"/>
      <c r="BL1159" s="4"/>
      <c r="BM1159" s="3"/>
      <c r="BN1159" s="4"/>
      <c r="BO1159" s="4"/>
      <c r="BP1159" s="4"/>
      <c r="BQ1159" s="4"/>
      <c r="BR1159" s="4"/>
      <c r="BS1159" s="4"/>
      <c r="BT1159" s="4"/>
      <c r="BU1159" s="4"/>
      <c r="BV1159" s="4"/>
      <c r="BW1159" s="4"/>
      <c r="BX1159" s="4"/>
      <c r="BY1159" s="4"/>
      <c r="BZ1159" s="4"/>
      <c r="CA1159" s="4"/>
      <c r="CB1159" s="4"/>
      <c r="CC1159" s="4"/>
      <c r="CD1159" s="4"/>
      <c r="CE1159" s="4"/>
      <c r="CF1159" s="4"/>
      <c r="CG1159" s="4"/>
      <c r="CH1159" s="4"/>
      <c r="CI1159" s="4"/>
      <c r="CJ1159" s="4"/>
      <c r="CK1159" s="4"/>
      <c r="CL1159" s="4"/>
      <c r="CM1159" s="4"/>
      <c r="CN1159" s="4"/>
      <c r="CO1159" s="4"/>
      <c r="CP1159" s="4"/>
      <c r="CQ1159" s="4"/>
      <c r="CR1159" s="4"/>
      <c r="CS1159" s="4"/>
      <c r="CT1159" s="4"/>
      <c r="CU1159" s="4"/>
      <c r="CV1159" s="4"/>
      <c r="CW1159" s="4"/>
      <c r="CX1159" s="4"/>
      <c r="CY1159" s="4"/>
      <c r="CZ1159" s="4"/>
      <c r="DA1159" s="4"/>
      <c r="DB1159" s="4"/>
      <c r="DC1159" s="4"/>
      <c r="DD1159" s="4"/>
      <c r="DE1159" s="3"/>
      <c r="DF1159" s="3"/>
      <c r="DG1159" s="4"/>
      <c r="DH1159" s="4"/>
      <c r="DI1159" s="4"/>
      <c r="DJ1159" s="4"/>
      <c r="DK1159" s="4"/>
      <c r="DL1159" s="4"/>
      <c r="DM1159" s="4"/>
      <c r="DN1159" s="4"/>
      <c r="DO1159" s="4"/>
      <c r="DP1159" s="4"/>
      <c r="DQ1159" s="4"/>
      <c r="DR1159" s="4"/>
      <c r="DS1159" s="4"/>
      <c r="DT1159" s="4"/>
      <c r="DU1159" s="4"/>
      <c r="DV1159" s="4"/>
      <c r="DW1159" s="4"/>
      <c r="DX1159" s="4"/>
      <c r="DY1159" s="4"/>
      <c r="DZ1159" s="4"/>
      <c r="EA1159" s="4"/>
      <c r="EB1159" s="4"/>
      <c r="EC1159" s="4"/>
      <c r="ED1159" s="4"/>
      <c r="EE1159" s="4"/>
      <c r="EF1159" s="4"/>
      <c r="EG1159" s="4"/>
      <c r="EH1159" s="4"/>
      <c r="EI1159" s="4"/>
      <c r="EJ1159" s="4"/>
      <c r="EK1159" s="4"/>
      <c r="EL1159" s="4"/>
      <c r="EM1159" s="4"/>
      <c r="EN1159" s="4"/>
      <c r="EO1159" s="4"/>
      <c r="EP1159" s="4"/>
      <c r="EQ1159" s="4"/>
      <c r="ER1159" s="4"/>
    </row>
    <row r="1160" spans="1:151" hidden="1">
      <c r="A1160" s="11" t="s">
        <v>9940</v>
      </c>
      <c r="B1160" s="3" t="s">
        <v>8373</v>
      </c>
      <c r="C1160" s="3">
        <v>2015</v>
      </c>
      <c r="D1160" s="3" t="s">
        <v>6876</v>
      </c>
      <c r="E1160" s="3" t="s">
        <v>8410</v>
      </c>
      <c r="F1160" s="3">
        <v>1</v>
      </c>
      <c r="G1160" s="3"/>
      <c r="H1160" s="3" t="s">
        <v>6880</v>
      </c>
      <c r="I1160" s="3"/>
      <c r="J1160" s="3"/>
      <c r="K1160" s="3" t="s">
        <v>970</v>
      </c>
      <c r="L1160" s="4"/>
      <c r="M1160" s="3" t="s">
        <v>8411</v>
      </c>
      <c r="T1160" s="3" t="s">
        <v>6878</v>
      </c>
      <c r="V1160" s="3"/>
      <c r="W1160" s="4"/>
      <c r="X1160" s="5" t="s">
        <v>6881</v>
      </c>
      <c r="Y1160" s="5"/>
      <c r="Z1160" s="3">
        <v>1</v>
      </c>
      <c r="AA1160" s="4"/>
      <c r="AB1160" s="4"/>
      <c r="AE1160" s="3"/>
      <c r="AF1160" s="3"/>
      <c r="AG1160" s="4"/>
      <c r="AH1160" s="4"/>
      <c r="AI1160" s="4"/>
      <c r="AJ1160" s="4"/>
      <c r="AK1160" s="3"/>
      <c r="AL1160" s="3"/>
      <c r="AM1160" s="3"/>
      <c r="AN1160" s="3"/>
      <c r="AO1160" s="4"/>
      <c r="AP1160" s="3"/>
      <c r="AQ1160" s="4"/>
      <c r="AR1160" s="3"/>
      <c r="AS1160" s="3"/>
      <c r="AT1160" s="4"/>
      <c r="AU1160" s="3"/>
      <c r="AV1160" s="4"/>
      <c r="AW1160" s="4"/>
      <c r="AX1160" s="4"/>
      <c r="AY1160" s="4"/>
      <c r="AZ1160" s="4"/>
      <c r="BA1160" s="4"/>
      <c r="BB1160" s="4"/>
      <c r="BC1160" s="4"/>
      <c r="BD1160" s="4"/>
      <c r="BE1160" s="4"/>
      <c r="BF1160" s="3"/>
      <c r="BG1160" s="3"/>
      <c r="BH1160" s="3"/>
      <c r="BI1160" s="4"/>
      <c r="BJ1160" s="3"/>
      <c r="BK1160" s="4"/>
      <c r="BL1160" s="3"/>
      <c r="BM1160" s="4"/>
      <c r="BN1160" s="4"/>
      <c r="BO1160" s="4"/>
      <c r="BP1160" s="4"/>
      <c r="BQ1160" s="4"/>
      <c r="BR1160" s="4"/>
      <c r="BS1160" s="4"/>
      <c r="BT1160" s="4"/>
      <c r="BU1160" s="4"/>
      <c r="BV1160" s="4"/>
      <c r="BW1160" s="4"/>
      <c r="BX1160" s="4"/>
      <c r="BY1160" s="4"/>
      <c r="BZ1160" s="4"/>
      <c r="CA1160" s="4"/>
      <c r="CB1160" s="4"/>
      <c r="CC1160" s="4"/>
      <c r="CD1160" s="4"/>
      <c r="CE1160" s="4"/>
      <c r="CF1160" s="4"/>
      <c r="CG1160" s="4"/>
      <c r="CH1160" s="4"/>
      <c r="CI1160" s="4"/>
      <c r="CJ1160" s="4"/>
      <c r="CK1160" s="4"/>
      <c r="CL1160" s="4"/>
      <c r="CM1160" s="4"/>
      <c r="CN1160" s="4"/>
      <c r="CO1160" s="4"/>
      <c r="CP1160" s="4"/>
      <c r="CQ1160" s="4"/>
      <c r="CR1160" s="4"/>
      <c r="CS1160" s="4"/>
      <c r="CT1160" s="4"/>
      <c r="CU1160" s="3"/>
      <c r="CV1160" s="3"/>
      <c r="CW1160" s="8"/>
      <c r="CX1160" s="4"/>
      <c r="CY1160" s="4"/>
      <c r="CZ1160" s="4"/>
      <c r="DA1160" s="4"/>
      <c r="DB1160" s="8"/>
      <c r="DC1160" s="8"/>
      <c r="DD1160" s="8"/>
      <c r="DE1160" s="8"/>
      <c r="DF1160" s="4"/>
      <c r="DG1160" s="4"/>
      <c r="DH1160" s="4"/>
      <c r="DI1160" s="4"/>
      <c r="DJ1160" s="4"/>
      <c r="DK1160" s="4"/>
      <c r="DL1160" s="4"/>
      <c r="DM1160" s="4"/>
      <c r="DN1160" s="4"/>
      <c r="DO1160" s="4"/>
      <c r="DP1160" s="4"/>
      <c r="DQ1160" s="4"/>
      <c r="DR1160" s="4"/>
      <c r="DS1160" s="4"/>
      <c r="DT1160" s="4"/>
      <c r="DU1160" s="4"/>
      <c r="DV1160" s="4"/>
      <c r="DW1160" s="4"/>
      <c r="DX1160" s="4"/>
      <c r="DY1160" s="4"/>
      <c r="DZ1160" s="8"/>
      <c r="EA1160" s="14"/>
      <c r="EB1160" s="8"/>
      <c r="EC1160" s="8"/>
      <c r="ED1160" s="8"/>
      <c r="EE1160" s="8"/>
      <c r="EF1160" s="4"/>
      <c r="EG1160" s="4"/>
      <c r="EH1160" s="4"/>
    </row>
    <row r="1161" spans="1:151" hidden="1">
      <c r="A1161" s="11" t="s">
        <v>9940</v>
      </c>
      <c r="B1161" s="3" t="s">
        <v>8373</v>
      </c>
      <c r="C1161" s="3">
        <v>2019</v>
      </c>
      <c r="D1161" s="3" t="s">
        <v>8412</v>
      </c>
      <c r="E1161" s="3" t="s">
        <v>8413</v>
      </c>
      <c r="F1161" s="3">
        <v>1</v>
      </c>
      <c r="G1161" s="3"/>
      <c r="H1161" s="3" t="s">
        <v>8415</v>
      </c>
      <c r="I1161" s="3"/>
      <c r="J1161" s="3"/>
      <c r="K1161" s="3" t="s">
        <v>221</v>
      </c>
      <c r="L1161" s="4"/>
      <c r="M1161" s="3" t="s">
        <v>8414</v>
      </c>
      <c r="T1161" s="3" t="s">
        <v>386</v>
      </c>
      <c r="V1161" s="3"/>
      <c r="W1161" s="4"/>
      <c r="X1161" s="5" t="s">
        <v>389</v>
      </c>
      <c r="Y1161" s="5"/>
      <c r="Z1161" s="3">
        <v>1</v>
      </c>
      <c r="AA1161" s="4"/>
      <c r="AB1161" s="4"/>
      <c r="AE1161" s="3"/>
      <c r="AF1161" s="3"/>
      <c r="AG1161" s="4"/>
      <c r="AH1161" s="4"/>
      <c r="AI1161" s="4"/>
      <c r="AJ1161" s="4"/>
      <c r="AK1161" s="3"/>
      <c r="AL1161" s="3"/>
      <c r="AM1161" s="3"/>
      <c r="AN1161" s="3"/>
      <c r="AO1161" s="4"/>
      <c r="AP1161" s="3"/>
      <c r="AQ1161" s="3"/>
      <c r="AR1161" s="3"/>
      <c r="AS1161" s="4"/>
      <c r="AT1161" s="3"/>
      <c r="AU1161" s="4"/>
      <c r="AV1161" s="4"/>
      <c r="AW1161" s="4"/>
      <c r="AX1161" s="4"/>
      <c r="AY1161" s="4"/>
      <c r="AZ1161" s="4"/>
      <c r="BA1161" s="4"/>
      <c r="BB1161" s="4"/>
      <c r="BC1161" s="4"/>
      <c r="BD1161" s="4"/>
      <c r="BE1161" s="3"/>
      <c r="BF1161" s="3"/>
      <c r="BG1161" s="3"/>
      <c r="BH1161" s="4"/>
      <c r="BI1161" s="3"/>
      <c r="BJ1161" s="4"/>
      <c r="BK1161" s="4"/>
      <c r="BL1161" s="3"/>
      <c r="BM1161" s="4"/>
      <c r="BN1161" s="4"/>
      <c r="BO1161" s="4"/>
      <c r="BP1161" s="4"/>
      <c r="BQ1161" s="4"/>
      <c r="BR1161" s="4"/>
      <c r="BS1161" s="4"/>
      <c r="BT1161" s="4"/>
      <c r="BU1161" s="4"/>
      <c r="BV1161" s="4"/>
      <c r="BW1161" s="4"/>
      <c r="BX1161" s="4"/>
      <c r="BY1161" s="4"/>
      <c r="BZ1161" s="4"/>
      <c r="CA1161" s="4"/>
      <c r="CB1161" s="4"/>
      <c r="CC1161" s="4"/>
      <c r="CD1161" s="4"/>
      <c r="CE1161" s="4"/>
      <c r="CF1161" s="4"/>
      <c r="CG1161" s="4"/>
      <c r="CH1161" s="4"/>
      <c r="CI1161" s="4"/>
      <c r="CJ1161" s="4"/>
      <c r="CK1161" s="4"/>
      <c r="CL1161" s="4"/>
      <c r="CM1161" s="4"/>
      <c r="CN1161" s="4"/>
      <c r="CO1161" s="4"/>
      <c r="CP1161" s="4"/>
      <c r="CQ1161" s="4"/>
      <c r="CR1161" s="4"/>
      <c r="CS1161" s="4"/>
      <c r="CT1161" s="4"/>
      <c r="CU1161" s="4"/>
      <c r="CV1161" s="4"/>
      <c r="CW1161" s="4"/>
      <c r="CX1161" s="4"/>
      <c r="CY1161" s="4"/>
      <c r="CZ1161" s="4"/>
      <c r="DA1161" s="4"/>
      <c r="DB1161" s="4"/>
      <c r="DC1161" s="3"/>
      <c r="DD1161" s="3"/>
      <c r="DE1161" s="8"/>
      <c r="DF1161" s="4"/>
      <c r="DG1161" s="4"/>
      <c r="DH1161" s="4"/>
      <c r="DI1161" s="4"/>
      <c r="DJ1161" s="8"/>
      <c r="DK1161" s="8"/>
      <c r="DL1161" s="8"/>
      <c r="DM1161" s="8"/>
      <c r="DN1161" s="4"/>
      <c r="DO1161" s="4"/>
      <c r="DP1161" s="4"/>
      <c r="DQ1161" s="4"/>
      <c r="DR1161" s="4"/>
      <c r="DS1161" s="4"/>
      <c r="DT1161" s="4"/>
      <c r="DU1161" s="4"/>
      <c r="DV1161" s="4"/>
      <c r="DW1161" s="4"/>
      <c r="DX1161" s="4"/>
      <c r="DY1161" s="4"/>
      <c r="DZ1161" s="4"/>
      <c r="EA1161" s="4"/>
      <c r="EB1161" s="4"/>
      <c r="EC1161" s="4"/>
      <c r="ED1161" s="4"/>
      <c r="EE1161" s="4"/>
      <c r="EF1161" s="4"/>
      <c r="EG1161" s="4"/>
      <c r="EH1161" s="8"/>
      <c r="EI1161" s="8"/>
      <c r="EJ1161" s="8"/>
      <c r="EK1161" s="8"/>
      <c r="EL1161" s="8"/>
      <c r="EM1161" s="8"/>
      <c r="EN1161" s="4"/>
      <c r="EO1161" s="4"/>
      <c r="EP1161" s="4"/>
    </row>
    <row r="1162" spans="1:151" hidden="1">
      <c r="A1162" s="11" t="s">
        <v>9940</v>
      </c>
      <c r="B1162" s="3" t="s">
        <v>8373</v>
      </c>
      <c r="C1162" s="3">
        <v>2019</v>
      </c>
      <c r="D1162" s="3" t="s">
        <v>6599</v>
      </c>
      <c r="E1162" s="3" t="s">
        <v>9246</v>
      </c>
      <c r="F1162" s="3">
        <v>1</v>
      </c>
      <c r="G1162" s="3"/>
      <c r="H1162" s="3" t="s">
        <v>9247</v>
      </c>
      <c r="I1162" s="3"/>
      <c r="J1162" s="3"/>
      <c r="K1162" s="3" t="s">
        <v>132</v>
      </c>
      <c r="L1162" s="4"/>
      <c r="M1162" s="3" t="s">
        <v>8382</v>
      </c>
      <c r="T1162" s="3" t="s">
        <v>6601</v>
      </c>
      <c r="V1162" s="3"/>
      <c r="W1162" s="3"/>
      <c r="X1162" s="5" t="s">
        <v>6604</v>
      </c>
      <c r="Y1162" s="5"/>
      <c r="Z1162" s="3">
        <v>0</v>
      </c>
      <c r="AA1162" s="3" t="s">
        <v>9178</v>
      </c>
      <c r="AB1162" s="4"/>
      <c r="AE1162" s="3"/>
      <c r="AF1162" s="4"/>
      <c r="AG1162" s="4"/>
      <c r="AH1162" s="4"/>
      <c r="AI1162" s="4"/>
      <c r="AJ1162" s="4"/>
      <c r="AK1162" s="3"/>
      <c r="AL1162" s="3"/>
      <c r="AM1162" s="3"/>
      <c r="AN1162" s="3"/>
      <c r="AO1162" s="4"/>
      <c r="AP1162" s="3"/>
      <c r="AQ1162" s="4"/>
      <c r="AR1162" s="4"/>
      <c r="AS1162" s="3"/>
      <c r="AT1162" s="4"/>
      <c r="AU1162" s="3"/>
      <c r="AV1162" s="4"/>
      <c r="AW1162" s="4"/>
      <c r="AX1162" s="4"/>
      <c r="AY1162" s="4"/>
      <c r="AZ1162" s="4"/>
      <c r="BA1162" s="4"/>
      <c r="BB1162" s="4"/>
      <c r="BC1162" s="4"/>
      <c r="BD1162" s="4"/>
      <c r="BE1162" s="4"/>
      <c r="BF1162" s="3"/>
      <c r="BG1162" s="3"/>
      <c r="BH1162" s="3"/>
      <c r="BI1162" s="4"/>
      <c r="BJ1162" s="3"/>
      <c r="BK1162" s="4"/>
      <c r="BL1162" s="4"/>
      <c r="BM1162" s="3"/>
      <c r="BN1162" s="4"/>
      <c r="BO1162" s="4"/>
      <c r="BP1162" s="4"/>
      <c r="BQ1162" s="4"/>
      <c r="BR1162" s="4"/>
      <c r="BS1162" s="4"/>
      <c r="BT1162" s="4"/>
      <c r="BU1162" s="4"/>
      <c r="BV1162" s="4"/>
      <c r="BW1162" s="4"/>
      <c r="BX1162" s="4"/>
      <c r="BY1162" s="4"/>
      <c r="BZ1162" s="4"/>
      <c r="CA1162" s="4"/>
      <c r="CB1162" s="4"/>
      <c r="CC1162" s="4"/>
      <c r="CD1162" s="4"/>
      <c r="CE1162" s="4"/>
      <c r="CF1162" s="4"/>
      <c r="CG1162" s="4"/>
      <c r="CH1162" s="4"/>
      <c r="CI1162" s="4"/>
      <c r="CJ1162" s="4"/>
      <c r="CK1162" s="4"/>
      <c r="CL1162" s="4"/>
      <c r="CM1162" s="4"/>
      <c r="CN1162" s="4"/>
      <c r="CO1162" s="4"/>
      <c r="CP1162" s="4"/>
      <c r="CQ1162" s="4"/>
      <c r="CR1162" s="4"/>
      <c r="CS1162" s="4"/>
      <c r="CT1162" s="4"/>
      <c r="CU1162" s="4"/>
      <c r="CV1162" s="4"/>
      <c r="CW1162" s="4"/>
      <c r="CX1162" s="4"/>
      <c r="CY1162" s="4"/>
      <c r="CZ1162" s="4"/>
      <c r="DA1162" s="3"/>
      <c r="DB1162" s="3"/>
      <c r="DC1162" s="4"/>
      <c r="DD1162" s="4"/>
      <c r="DE1162" s="4"/>
      <c r="DF1162" s="4"/>
      <c r="DG1162" s="4"/>
      <c r="DH1162" s="4"/>
      <c r="DI1162" s="4"/>
      <c r="DJ1162" s="4"/>
      <c r="DK1162" s="4"/>
      <c r="DL1162" s="4"/>
      <c r="DM1162" s="4"/>
      <c r="DN1162" s="4"/>
      <c r="DO1162" s="4"/>
      <c r="DP1162" s="4"/>
      <c r="DQ1162" s="4"/>
      <c r="DR1162" s="4"/>
      <c r="DS1162" s="4"/>
      <c r="DT1162" s="4"/>
      <c r="DU1162" s="4"/>
      <c r="DV1162" s="4"/>
      <c r="DW1162" s="4"/>
      <c r="DX1162" s="4"/>
      <c r="DY1162" s="4"/>
      <c r="DZ1162" s="4"/>
      <c r="EA1162" s="4"/>
      <c r="EB1162" s="4"/>
      <c r="EC1162" s="4"/>
      <c r="ED1162" s="4"/>
      <c r="EE1162" s="4"/>
      <c r="EF1162" s="4"/>
      <c r="EG1162" s="4"/>
      <c r="EH1162" s="4"/>
      <c r="EI1162" s="4"/>
      <c r="EJ1162" s="4"/>
      <c r="EK1162" s="4"/>
      <c r="EL1162" s="4"/>
      <c r="EM1162" s="4"/>
      <c r="EN1162" s="4"/>
    </row>
    <row r="1163" spans="1:151" hidden="1">
      <c r="A1163" s="11" t="s">
        <v>9940</v>
      </c>
      <c r="B1163" s="3" t="s">
        <v>8373</v>
      </c>
      <c r="C1163" s="3">
        <v>2019</v>
      </c>
      <c r="D1163" s="3" t="s">
        <v>8416</v>
      </c>
      <c r="E1163" s="3" t="s">
        <v>8417</v>
      </c>
      <c r="F1163" s="3">
        <v>1</v>
      </c>
      <c r="G1163" s="3"/>
      <c r="H1163" s="3" t="s">
        <v>8419</v>
      </c>
      <c r="I1163" s="3"/>
      <c r="J1163" s="3"/>
      <c r="K1163" s="3" t="s">
        <v>656</v>
      </c>
      <c r="L1163" s="4"/>
      <c r="M1163" s="3" t="s">
        <v>8418</v>
      </c>
      <c r="T1163" s="3" t="s">
        <v>658</v>
      </c>
      <c r="V1163" s="3"/>
      <c r="W1163" s="4"/>
      <c r="X1163" s="5" t="s">
        <v>661</v>
      </c>
      <c r="Y1163" s="5"/>
      <c r="Z1163" s="3">
        <v>1</v>
      </c>
      <c r="AA1163" s="4"/>
      <c r="AB1163" s="4"/>
      <c r="AE1163" s="3"/>
      <c r="AF1163" s="3"/>
      <c r="AG1163" s="4"/>
      <c r="AH1163" s="4"/>
      <c r="AI1163" s="4"/>
      <c r="AJ1163" s="4"/>
      <c r="AK1163" s="3"/>
      <c r="AL1163" s="3"/>
      <c r="AM1163" s="3"/>
      <c r="AN1163" s="3"/>
      <c r="AO1163" s="4"/>
      <c r="AP1163" s="3"/>
      <c r="AQ1163" s="4"/>
      <c r="AR1163" s="4"/>
      <c r="AS1163" s="3"/>
      <c r="AT1163" s="4"/>
      <c r="AU1163" s="3"/>
      <c r="AV1163" s="4"/>
      <c r="AW1163" s="4"/>
      <c r="AX1163" s="4"/>
      <c r="AY1163" s="4"/>
      <c r="AZ1163" s="4"/>
      <c r="BA1163" s="4"/>
      <c r="BB1163" s="4"/>
      <c r="BC1163" s="4"/>
      <c r="BD1163" s="4"/>
      <c r="BE1163" s="4"/>
      <c r="BF1163" s="3"/>
      <c r="BG1163" s="3"/>
      <c r="BH1163" s="3"/>
      <c r="BI1163" s="4"/>
      <c r="BJ1163" s="3"/>
      <c r="BK1163" s="4"/>
      <c r="BL1163" s="4"/>
      <c r="BM1163" s="3"/>
      <c r="BN1163" s="4"/>
      <c r="BO1163" s="4"/>
      <c r="BP1163" s="4"/>
      <c r="BQ1163" s="4"/>
      <c r="BR1163" s="4"/>
      <c r="BS1163" s="4"/>
      <c r="BT1163" s="4"/>
      <c r="BU1163" s="4"/>
      <c r="BV1163" s="4"/>
      <c r="BW1163" s="4"/>
      <c r="BX1163" s="4"/>
      <c r="BY1163" s="4"/>
      <c r="BZ1163" s="4"/>
      <c r="CA1163" s="4"/>
      <c r="CB1163" s="4"/>
      <c r="CC1163" s="4"/>
      <c r="CD1163" s="4"/>
      <c r="CE1163" s="4"/>
      <c r="CF1163" s="4"/>
      <c r="CG1163" s="4"/>
      <c r="CH1163" s="4"/>
      <c r="CI1163" s="4"/>
      <c r="CJ1163" s="4"/>
      <c r="CK1163" s="4"/>
      <c r="CL1163" s="4"/>
      <c r="CM1163" s="4"/>
      <c r="CN1163" s="4"/>
      <c r="CO1163" s="4"/>
      <c r="CP1163" s="4"/>
      <c r="CQ1163" s="4"/>
      <c r="CR1163" s="4"/>
      <c r="CS1163" s="4"/>
      <c r="CT1163" s="4"/>
      <c r="CU1163" s="4"/>
      <c r="CV1163" s="4"/>
      <c r="CW1163" s="4"/>
      <c r="CX1163" s="4"/>
      <c r="CY1163" s="4"/>
      <c r="CZ1163" s="4"/>
      <c r="DA1163" s="4"/>
      <c r="DB1163" s="4"/>
      <c r="DC1163" s="4"/>
      <c r="DD1163" s="3"/>
      <c r="DE1163" s="3"/>
      <c r="DF1163" s="8"/>
      <c r="DG1163" s="4"/>
      <c r="DH1163" s="4"/>
      <c r="DI1163" s="4"/>
      <c r="DJ1163" s="4"/>
      <c r="DK1163" s="8"/>
      <c r="DL1163" s="8"/>
      <c r="DM1163" s="8"/>
      <c r="DN1163" s="8"/>
      <c r="DO1163" s="4"/>
      <c r="DP1163" s="4"/>
      <c r="DQ1163" s="4"/>
      <c r="DR1163" s="4"/>
      <c r="DS1163" s="4"/>
      <c r="DT1163" s="4"/>
      <c r="DU1163" s="4"/>
      <c r="DV1163" s="4"/>
      <c r="DW1163" s="4"/>
      <c r="DX1163" s="4"/>
      <c r="DY1163" s="4"/>
      <c r="DZ1163" s="4"/>
      <c r="EA1163" s="4"/>
      <c r="EB1163" s="4"/>
      <c r="EC1163" s="4"/>
      <c r="ED1163" s="4"/>
      <c r="EE1163" s="4"/>
      <c r="EF1163" s="4"/>
      <c r="EG1163" s="4"/>
      <c r="EH1163" s="4"/>
      <c r="EI1163" s="8"/>
      <c r="EJ1163" s="8"/>
      <c r="EK1163" s="8"/>
      <c r="EL1163" s="8"/>
      <c r="EM1163" s="8"/>
      <c r="EN1163" s="8"/>
      <c r="EO1163" s="4"/>
      <c r="EP1163" s="4"/>
      <c r="EQ1163" s="4"/>
    </row>
    <row r="1164" spans="1:151" hidden="1">
      <c r="A1164" s="11" t="s">
        <v>9940</v>
      </c>
      <c r="B1164" s="3" t="s">
        <v>8379</v>
      </c>
      <c r="C1164" s="3">
        <v>2019</v>
      </c>
      <c r="D1164" s="3" t="s">
        <v>446</v>
      </c>
      <c r="E1164" s="3" t="s">
        <v>8420</v>
      </c>
      <c r="F1164" s="3">
        <v>1</v>
      </c>
      <c r="G1164" s="4"/>
      <c r="H1164" s="3" t="s">
        <v>450</v>
      </c>
      <c r="I1164" s="3"/>
      <c r="J1164" s="3"/>
      <c r="K1164" s="4"/>
      <c r="L1164" s="4"/>
      <c r="M1164" s="4"/>
      <c r="T1164" s="4"/>
      <c r="V1164" s="3"/>
      <c r="W1164" s="4"/>
      <c r="X1164" s="5" t="s">
        <v>451</v>
      </c>
      <c r="Y1164" s="5"/>
      <c r="Z1164" s="3">
        <v>1</v>
      </c>
      <c r="AA1164" s="4"/>
      <c r="AB1164" s="4"/>
      <c r="AE1164" s="3"/>
      <c r="AF1164" s="3"/>
      <c r="AG1164" s="3"/>
      <c r="AH1164" s="4"/>
      <c r="AI1164" s="4"/>
      <c r="AJ1164" s="4"/>
      <c r="AK1164" s="3"/>
      <c r="AL1164" s="3"/>
      <c r="AM1164" s="3"/>
      <c r="AN1164" s="3"/>
      <c r="AO1164" s="4"/>
      <c r="AP1164" s="4"/>
      <c r="AQ1164" s="4"/>
      <c r="AR1164" s="4"/>
      <c r="AS1164" s="4"/>
      <c r="AT1164" s="4"/>
      <c r="AU1164" s="4"/>
      <c r="AV1164" s="4"/>
      <c r="AW1164" s="4"/>
      <c r="AX1164" s="4"/>
      <c r="AY1164" s="4"/>
      <c r="AZ1164" s="4"/>
      <c r="BA1164" s="3"/>
      <c r="BB1164" s="4"/>
      <c r="BC1164" s="3"/>
      <c r="BD1164" s="3"/>
      <c r="BE1164" s="3"/>
      <c r="BF1164" s="4"/>
      <c r="BG1164" s="3"/>
      <c r="BH1164" s="3"/>
      <c r="BI1164" s="4"/>
      <c r="BJ1164" s="4"/>
      <c r="BK1164" s="4"/>
      <c r="BL1164" s="4"/>
      <c r="BM1164" s="4"/>
      <c r="BN1164" s="4"/>
      <c r="BO1164" s="4"/>
      <c r="BP1164" s="4"/>
      <c r="BQ1164" s="4"/>
      <c r="BR1164" s="4"/>
      <c r="BS1164" s="4"/>
      <c r="BT1164" s="4"/>
      <c r="BU1164" s="4"/>
      <c r="BV1164" s="4"/>
      <c r="BW1164" s="4"/>
      <c r="BX1164" s="4"/>
      <c r="BY1164" s="4"/>
      <c r="BZ1164" s="4"/>
      <c r="CA1164" s="4"/>
      <c r="CB1164" s="4"/>
      <c r="CC1164" s="4"/>
      <c r="CD1164" s="4"/>
      <c r="CE1164" s="4"/>
      <c r="CF1164" s="4"/>
      <c r="CG1164" s="4"/>
      <c r="CH1164" s="4"/>
      <c r="CI1164" s="4"/>
      <c r="CJ1164" s="4"/>
      <c r="CK1164" s="4"/>
      <c r="CL1164" s="4"/>
      <c r="CM1164" s="4"/>
      <c r="CN1164" s="4"/>
      <c r="CO1164" s="4"/>
      <c r="CP1164" s="4"/>
      <c r="CQ1164" s="4"/>
      <c r="CR1164" s="4"/>
      <c r="CS1164" s="4"/>
      <c r="CT1164" s="4"/>
      <c r="CU1164" s="4"/>
      <c r="CV1164" s="4"/>
      <c r="CW1164" s="4"/>
      <c r="CX1164" s="4"/>
      <c r="CY1164" s="4"/>
      <c r="CZ1164" s="4"/>
      <c r="DA1164" s="4"/>
      <c r="DB1164" s="4"/>
      <c r="DC1164" s="4"/>
      <c r="DD1164" s="3"/>
      <c r="DE1164" s="3"/>
      <c r="DF1164" s="8"/>
      <c r="DG1164" s="4"/>
      <c r="DH1164" s="4"/>
      <c r="DI1164" s="4"/>
      <c r="DJ1164" s="4"/>
      <c r="DK1164" s="8"/>
      <c r="DL1164" s="8"/>
      <c r="DM1164" s="8"/>
      <c r="DN1164" s="8"/>
      <c r="DO1164" s="4"/>
      <c r="DP1164" s="4"/>
      <c r="DQ1164" s="4"/>
      <c r="DR1164" s="4"/>
      <c r="DS1164" s="4"/>
      <c r="DT1164" s="4"/>
      <c r="DU1164" s="4"/>
      <c r="DV1164" s="4"/>
      <c r="DW1164" s="4"/>
      <c r="DX1164" s="4"/>
      <c r="DY1164" s="4"/>
      <c r="DZ1164" s="4"/>
      <c r="EA1164" s="4"/>
      <c r="EB1164" s="4"/>
      <c r="EC1164" s="4"/>
      <c r="ED1164" s="4"/>
      <c r="EE1164" s="4"/>
      <c r="EF1164" s="4"/>
      <c r="EG1164" s="4"/>
      <c r="EH1164" s="4"/>
      <c r="EI1164" s="8"/>
      <c r="EJ1164" s="8"/>
      <c r="EK1164" s="8"/>
      <c r="EL1164" s="8"/>
      <c r="EM1164" s="8"/>
      <c r="EN1164" s="8"/>
      <c r="EO1164" s="4"/>
      <c r="EP1164" s="4"/>
      <c r="EQ1164" s="4"/>
    </row>
    <row r="1165" spans="1:151" hidden="1">
      <c r="A1165" s="11" t="s">
        <v>9940</v>
      </c>
      <c r="B1165" s="3" t="s">
        <v>8373</v>
      </c>
      <c r="C1165" s="3">
        <v>2019</v>
      </c>
      <c r="D1165" s="3" t="s">
        <v>8175</v>
      </c>
      <c r="E1165" s="3" t="s">
        <v>9248</v>
      </c>
      <c r="F1165" s="3">
        <v>0</v>
      </c>
      <c r="G1165" s="3" t="s">
        <v>9249</v>
      </c>
      <c r="H1165" s="3" t="s">
        <v>9250</v>
      </c>
      <c r="I1165" s="3"/>
      <c r="J1165" s="3"/>
      <c r="K1165" s="3" t="s">
        <v>132</v>
      </c>
      <c r="L1165" s="4"/>
      <c r="M1165" s="3" t="s">
        <v>8382</v>
      </c>
      <c r="T1165" s="3" t="s">
        <v>8177</v>
      </c>
      <c r="V1165" s="4"/>
      <c r="W1165" s="4"/>
      <c r="X1165" s="5" t="s">
        <v>8180</v>
      </c>
      <c r="Y1165" s="5"/>
      <c r="Z1165" s="4"/>
      <c r="AA1165" s="4"/>
      <c r="AB1165" s="4"/>
      <c r="AE1165" s="4"/>
      <c r="AF1165" s="4"/>
      <c r="AG1165" s="3"/>
      <c r="AH1165" s="3"/>
      <c r="AI1165" s="3"/>
      <c r="AJ1165" s="3"/>
      <c r="AK1165" s="4"/>
      <c r="AL1165" s="3"/>
      <c r="AM1165" s="4"/>
      <c r="AN1165" s="4"/>
      <c r="AO1165" s="3"/>
      <c r="AP1165" s="4"/>
      <c r="AQ1165" s="3"/>
      <c r="AR1165" s="4"/>
      <c r="AS1165" s="4"/>
      <c r="AT1165" s="4"/>
      <c r="AU1165" s="4"/>
      <c r="AV1165" s="4"/>
      <c r="AW1165" s="4"/>
      <c r="AX1165" s="4"/>
      <c r="AY1165" s="4"/>
      <c r="AZ1165" s="4"/>
      <c r="BA1165" s="4"/>
      <c r="BB1165" s="3"/>
      <c r="BC1165" s="3"/>
      <c r="BD1165" s="3"/>
      <c r="BE1165" s="4"/>
      <c r="BF1165" s="3"/>
      <c r="BG1165" s="4"/>
      <c r="BH1165" s="4"/>
      <c r="BI1165" s="3"/>
      <c r="BJ1165" s="4"/>
      <c r="BK1165" s="4"/>
      <c r="BL1165" s="4"/>
      <c r="BM1165" s="4"/>
      <c r="BN1165" s="4"/>
      <c r="BO1165" s="4"/>
      <c r="BP1165" s="4"/>
      <c r="BQ1165" s="4"/>
      <c r="BR1165" s="4"/>
      <c r="BS1165" s="4"/>
      <c r="BT1165" s="4"/>
      <c r="BU1165" s="4"/>
      <c r="BV1165" s="4"/>
      <c r="BW1165" s="4"/>
      <c r="BX1165" s="4"/>
      <c r="BY1165" s="4"/>
      <c r="BZ1165" s="4"/>
      <c r="CA1165" s="4"/>
      <c r="CB1165" s="4"/>
      <c r="CC1165" s="4"/>
      <c r="CD1165" s="4"/>
      <c r="CE1165" s="4"/>
      <c r="CF1165" s="4"/>
      <c r="CG1165" s="4"/>
      <c r="CH1165" s="4"/>
      <c r="CI1165" s="4"/>
      <c r="CJ1165" s="4"/>
      <c r="CK1165" s="4"/>
      <c r="CL1165" s="4"/>
      <c r="CM1165" s="4"/>
      <c r="CN1165" s="4"/>
      <c r="CO1165" s="4"/>
      <c r="CP1165" s="4"/>
      <c r="CQ1165" s="4"/>
      <c r="CR1165" s="4"/>
      <c r="CS1165" s="4"/>
      <c r="CT1165" s="4"/>
      <c r="CU1165" s="4"/>
      <c r="CV1165" s="4"/>
      <c r="CW1165" s="4"/>
      <c r="CX1165" s="4"/>
      <c r="CY1165" s="3"/>
      <c r="CZ1165" s="3"/>
      <c r="DA1165" s="4"/>
      <c r="DB1165" s="4"/>
      <c r="DC1165" s="4"/>
      <c r="DD1165" s="4"/>
      <c r="DE1165" s="4"/>
      <c r="DF1165" s="4"/>
      <c r="DG1165" s="4"/>
      <c r="DH1165" s="4"/>
      <c r="DI1165" s="4"/>
      <c r="DJ1165" s="4"/>
      <c r="DK1165" s="4"/>
      <c r="DL1165" s="4"/>
      <c r="DM1165" s="4"/>
      <c r="DN1165" s="4"/>
      <c r="DO1165" s="4"/>
      <c r="DP1165" s="4"/>
      <c r="DQ1165" s="4"/>
      <c r="DR1165" s="4"/>
      <c r="DS1165" s="4"/>
      <c r="DT1165" s="4"/>
      <c r="DU1165" s="4"/>
      <c r="DV1165" s="4"/>
      <c r="DW1165" s="4"/>
      <c r="DX1165" s="4"/>
      <c r="DY1165" s="4"/>
      <c r="DZ1165" s="4"/>
      <c r="EA1165" s="4"/>
      <c r="EB1165" s="4"/>
      <c r="EC1165" s="4"/>
      <c r="ED1165" s="4"/>
      <c r="EE1165" s="4"/>
      <c r="EF1165" s="4"/>
      <c r="EG1165" s="4"/>
      <c r="EH1165" s="4"/>
      <c r="EI1165" s="4"/>
      <c r="EJ1165" s="4"/>
      <c r="EK1165" s="4"/>
      <c r="EL1165" s="4"/>
    </row>
    <row r="1166" spans="1:151" hidden="1">
      <c r="A1166" s="11" t="s">
        <v>9940</v>
      </c>
      <c r="B1166" s="3" t="s">
        <v>8373</v>
      </c>
      <c r="C1166" s="3">
        <v>2019</v>
      </c>
      <c r="D1166" s="3" t="s">
        <v>9251</v>
      </c>
      <c r="E1166" s="3" t="s">
        <v>9252</v>
      </c>
      <c r="F1166" s="3">
        <v>0</v>
      </c>
      <c r="G1166" s="3" t="s">
        <v>9178</v>
      </c>
      <c r="H1166" s="3" t="s">
        <v>9255</v>
      </c>
      <c r="I1166" s="3"/>
      <c r="J1166" s="3"/>
      <c r="K1166" s="3" t="s">
        <v>970</v>
      </c>
      <c r="L1166" s="4"/>
      <c r="M1166" s="3" t="s">
        <v>8411</v>
      </c>
      <c r="T1166" s="3" t="s">
        <v>9253</v>
      </c>
      <c r="V1166" s="4"/>
      <c r="W1166" s="4"/>
      <c r="X1166" s="5" t="s">
        <v>9254</v>
      </c>
      <c r="Y1166" s="5"/>
      <c r="Z1166" s="4"/>
      <c r="AA1166" s="4"/>
      <c r="AB1166" s="4"/>
      <c r="AE1166" s="4"/>
      <c r="AF1166" s="4"/>
      <c r="AG1166" s="3"/>
      <c r="AH1166" s="3"/>
      <c r="AI1166" s="3"/>
      <c r="AJ1166" s="3"/>
      <c r="AK1166" s="4"/>
      <c r="AL1166" s="3"/>
      <c r="AM1166" s="4"/>
      <c r="AN1166" s="3"/>
      <c r="AO1166" s="3"/>
      <c r="AP1166" s="4"/>
      <c r="AQ1166" s="3"/>
      <c r="AR1166" s="4"/>
      <c r="AS1166" s="4"/>
      <c r="AT1166" s="4"/>
      <c r="AU1166" s="4"/>
      <c r="AV1166" s="4"/>
      <c r="AW1166" s="4"/>
      <c r="AX1166" s="4"/>
      <c r="AY1166" s="4"/>
      <c r="AZ1166" s="4"/>
      <c r="BA1166" s="4"/>
      <c r="BB1166" s="3"/>
      <c r="BC1166" s="3"/>
      <c r="BD1166" s="3"/>
      <c r="BE1166" s="4"/>
      <c r="BF1166" s="3"/>
      <c r="BG1166" s="4"/>
      <c r="BH1166" s="3"/>
      <c r="BI1166" s="4"/>
      <c r="BJ1166" s="4"/>
      <c r="BK1166" s="4"/>
      <c r="BL1166" s="4"/>
      <c r="BM1166" s="4"/>
      <c r="BN1166" s="4"/>
      <c r="BO1166" s="4"/>
      <c r="BP1166" s="4"/>
      <c r="BQ1166" s="4"/>
      <c r="BR1166" s="4"/>
      <c r="BS1166" s="4"/>
      <c r="BT1166" s="4"/>
      <c r="BU1166" s="4"/>
      <c r="BV1166" s="4"/>
      <c r="BW1166" s="4"/>
      <c r="BX1166" s="4"/>
      <c r="BY1166" s="4"/>
      <c r="BZ1166" s="4"/>
      <c r="CA1166" s="4"/>
      <c r="CB1166" s="4"/>
      <c r="CC1166" s="4"/>
      <c r="CD1166" s="4"/>
      <c r="CE1166" s="4"/>
      <c r="CF1166" s="4"/>
      <c r="CG1166" s="4"/>
      <c r="CH1166" s="4"/>
      <c r="CI1166" s="4"/>
      <c r="CJ1166" s="4"/>
      <c r="CK1166" s="4"/>
      <c r="CL1166" s="4"/>
      <c r="CM1166" s="4"/>
      <c r="CN1166" s="4"/>
      <c r="CO1166" s="4"/>
      <c r="CP1166" s="4"/>
      <c r="CQ1166" s="4"/>
      <c r="CR1166" s="4"/>
      <c r="CS1166" s="4"/>
      <c r="CT1166" s="4"/>
      <c r="CU1166" s="4"/>
      <c r="CV1166" s="4"/>
      <c r="CW1166" s="4"/>
      <c r="CX1166" s="4"/>
      <c r="CY1166" s="3"/>
      <c r="CZ1166" s="3"/>
      <c r="DA1166" s="4"/>
      <c r="DB1166" s="4"/>
      <c r="DC1166" s="4"/>
      <c r="DD1166" s="4"/>
      <c r="DE1166" s="4"/>
      <c r="DF1166" s="4"/>
      <c r="DG1166" s="4"/>
      <c r="DH1166" s="4"/>
      <c r="DI1166" s="4"/>
      <c r="DJ1166" s="4"/>
      <c r="DK1166" s="4"/>
      <c r="DL1166" s="4"/>
      <c r="DM1166" s="4"/>
      <c r="DN1166" s="4"/>
      <c r="DO1166" s="4"/>
      <c r="DP1166" s="4"/>
      <c r="DQ1166" s="4"/>
      <c r="DR1166" s="4"/>
      <c r="DS1166" s="4"/>
      <c r="DT1166" s="4"/>
      <c r="DU1166" s="4"/>
      <c r="DV1166" s="4"/>
      <c r="DW1166" s="4"/>
      <c r="DX1166" s="4"/>
      <c r="DY1166" s="4"/>
      <c r="DZ1166" s="4"/>
      <c r="EA1166" s="4"/>
      <c r="EB1166" s="4"/>
      <c r="EC1166" s="4"/>
      <c r="ED1166" s="4"/>
      <c r="EE1166" s="4"/>
      <c r="EF1166" s="4"/>
      <c r="EG1166" s="4"/>
      <c r="EH1166" s="4"/>
      <c r="EI1166" s="4"/>
      <c r="EJ1166" s="4"/>
      <c r="EK1166" s="4"/>
      <c r="EL1166" s="4"/>
    </row>
    <row r="1167" spans="1:151" hidden="1">
      <c r="A1167" s="11" t="s">
        <v>9940</v>
      </c>
      <c r="B1167" s="3" t="s">
        <v>8373</v>
      </c>
      <c r="C1167" s="3">
        <v>2019</v>
      </c>
      <c r="D1167" s="3" t="s">
        <v>8421</v>
      </c>
      <c r="E1167" s="3" t="s">
        <v>8422</v>
      </c>
      <c r="F1167" s="3">
        <v>1</v>
      </c>
      <c r="G1167" s="3"/>
      <c r="H1167" s="3" t="s">
        <v>8425</v>
      </c>
      <c r="I1167" s="3"/>
      <c r="J1167" s="3"/>
      <c r="K1167" s="3" t="s">
        <v>470</v>
      </c>
      <c r="L1167" s="4"/>
      <c r="M1167" s="12">
        <v>11720</v>
      </c>
      <c r="T1167" s="3" t="s">
        <v>8423</v>
      </c>
      <c r="V1167" s="3"/>
      <c r="W1167" s="4"/>
      <c r="X1167" s="5" t="s">
        <v>8424</v>
      </c>
      <c r="Y1167" s="5"/>
      <c r="Z1167" s="3">
        <v>1</v>
      </c>
      <c r="AA1167" s="4"/>
      <c r="AB1167" s="4"/>
      <c r="AE1167" s="3"/>
      <c r="AF1167" s="3"/>
      <c r="AG1167" s="4"/>
      <c r="AH1167" s="4"/>
      <c r="AI1167" s="4"/>
      <c r="AJ1167" s="4"/>
      <c r="AK1167" s="3"/>
      <c r="AL1167" s="3"/>
      <c r="AM1167" s="3"/>
      <c r="AN1167" s="3"/>
      <c r="AO1167" s="4"/>
      <c r="AP1167" s="3"/>
      <c r="AQ1167" s="4"/>
      <c r="AR1167" s="3"/>
      <c r="AS1167" s="3"/>
      <c r="AT1167" s="4"/>
      <c r="AU1167" s="3"/>
      <c r="AV1167" s="4"/>
      <c r="AW1167" s="3"/>
      <c r="AX1167" s="4"/>
      <c r="AY1167" s="4"/>
      <c r="AZ1167" s="4"/>
      <c r="BA1167" s="4"/>
      <c r="BB1167" s="4"/>
      <c r="BC1167" s="4"/>
      <c r="BD1167" s="3"/>
      <c r="BE1167" s="3"/>
      <c r="BF1167" s="3"/>
      <c r="BG1167" s="4"/>
      <c r="BH1167" s="3"/>
      <c r="BI1167" s="4"/>
      <c r="BJ1167" s="3"/>
      <c r="BK1167" s="4"/>
      <c r="BL1167" s="4"/>
      <c r="BM1167" s="4"/>
      <c r="BN1167" s="4"/>
      <c r="BO1167" s="4"/>
      <c r="BP1167" s="4"/>
      <c r="BQ1167" s="4"/>
      <c r="BR1167" s="4"/>
      <c r="BS1167" s="4"/>
      <c r="BT1167" s="4"/>
      <c r="BU1167" s="4"/>
      <c r="BV1167" s="4"/>
      <c r="BW1167" s="4"/>
      <c r="BX1167" s="4"/>
      <c r="BY1167" s="4"/>
      <c r="BZ1167" s="4"/>
      <c r="CA1167" s="4"/>
      <c r="CB1167" s="4"/>
      <c r="CC1167" s="4"/>
      <c r="CD1167" s="4"/>
      <c r="CE1167" s="4"/>
      <c r="CF1167" s="4"/>
      <c r="CG1167" s="4"/>
      <c r="CH1167" s="4"/>
      <c r="CI1167" s="4"/>
      <c r="CJ1167" s="4"/>
      <c r="CK1167" s="4"/>
      <c r="CL1167" s="4"/>
      <c r="CM1167" s="4"/>
      <c r="CN1167" s="4"/>
      <c r="CO1167" s="4"/>
      <c r="CP1167" s="4"/>
      <c r="CQ1167" s="4"/>
      <c r="CR1167" s="4"/>
      <c r="CS1167" s="4"/>
      <c r="CT1167" s="4"/>
      <c r="CU1167" s="4"/>
      <c r="CV1167" s="4"/>
      <c r="CW1167" s="4"/>
      <c r="CX1167" s="4"/>
      <c r="CY1167" s="4"/>
      <c r="CZ1167" s="4"/>
      <c r="DA1167" s="4"/>
      <c r="DB1167" s="3"/>
      <c r="DC1167" s="3"/>
      <c r="DD1167" s="8"/>
      <c r="DE1167" s="4"/>
      <c r="DF1167" s="4"/>
      <c r="DG1167" s="4"/>
      <c r="DH1167" s="4"/>
      <c r="DI1167" s="8"/>
      <c r="DJ1167" s="8"/>
      <c r="DK1167" s="8"/>
      <c r="DL1167" s="8"/>
      <c r="DM1167" s="4"/>
      <c r="DN1167" s="4"/>
      <c r="DO1167" s="4"/>
      <c r="DP1167" s="4"/>
      <c r="DQ1167" s="4"/>
      <c r="DR1167" s="4"/>
      <c r="DS1167" s="4"/>
      <c r="DT1167" s="4"/>
      <c r="DU1167" s="4"/>
      <c r="DV1167" s="4"/>
      <c r="DW1167" s="4"/>
      <c r="DX1167" s="4"/>
      <c r="DY1167" s="4"/>
      <c r="DZ1167" s="4"/>
      <c r="EA1167" s="4"/>
      <c r="EB1167" s="4"/>
      <c r="EC1167" s="4"/>
      <c r="ED1167" s="4"/>
      <c r="EE1167" s="4"/>
      <c r="EF1167" s="4"/>
      <c r="EG1167" s="8"/>
      <c r="EH1167" s="8"/>
      <c r="EI1167" s="8"/>
      <c r="EJ1167" s="8"/>
      <c r="EK1167" s="8"/>
      <c r="EL1167" s="8"/>
      <c r="EM1167" s="4"/>
      <c r="EN1167" s="4"/>
      <c r="EO1167" s="4"/>
    </row>
    <row r="1168" spans="1:151" hidden="1">
      <c r="A1168" s="11" t="s">
        <v>9940</v>
      </c>
      <c r="B1168" s="3" t="s">
        <v>8373</v>
      </c>
      <c r="C1168" s="3">
        <v>2016</v>
      </c>
      <c r="D1168" s="3" t="s">
        <v>3935</v>
      </c>
      <c r="E1168" s="3" t="s">
        <v>8426</v>
      </c>
      <c r="F1168" s="3">
        <v>1</v>
      </c>
      <c r="G1168" s="3"/>
      <c r="H1168" s="3" t="s">
        <v>3939</v>
      </c>
      <c r="I1168" s="3"/>
      <c r="J1168" s="3"/>
      <c r="K1168" s="3" t="s">
        <v>252</v>
      </c>
      <c r="L1168" s="4"/>
      <c r="M1168" s="3" t="s">
        <v>8427</v>
      </c>
      <c r="T1168" s="3" t="s">
        <v>3937</v>
      </c>
      <c r="V1168" s="3"/>
      <c r="W1168" s="3"/>
      <c r="X1168" s="5" t="s">
        <v>3940</v>
      </c>
      <c r="Y1168" s="5"/>
      <c r="Z1168" s="3">
        <v>1</v>
      </c>
      <c r="AA1168" s="4"/>
      <c r="AB1168" s="3"/>
      <c r="AE1168" s="3"/>
      <c r="AF1168" s="3"/>
      <c r="AG1168" s="4"/>
      <c r="AH1168" s="4"/>
      <c r="AI1168" s="4"/>
      <c r="AJ1168" s="4"/>
      <c r="AK1168" s="3"/>
      <c r="AL1168" s="3"/>
      <c r="AM1168" s="3"/>
      <c r="AN1168" s="3"/>
      <c r="AO1168" s="4"/>
      <c r="AP1168" s="3"/>
      <c r="AQ1168" s="4"/>
      <c r="AR1168" s="3"/>
      <c r="AS1168" s="3"/>
      <c r="AT1168" s="4"/>
      <c r="AU1168" s="3"/>
      <c r="AV1168" s="4"/>
      <c r="AW1168" s="4"/>
      <c r="AX1168" s="4"/>
      <c r="AY1168" s="4"/>
      <c r="AZ1168" s="4"/>
      <c r="BA1168" s="4"/>
      <c r="BB1168" s="4"/>
      <c r="BC1168" s="4"/>
      <c r="BD1168" s="4"/>
      <c r="BE1168" s="4"/>
      <c r="BF1168" s="3"/>
      <c r="BG1168" s="3"/>
      <c r="BH1168" s="3"/>
      <c r="BI1168" s="4"/>
      <c r="BJ1168" s="3"/>
      <c r="BK1168" s="4"/>
      <c r="BL1168" s="4"/>
      <c r="BM1168" s="3"/>
      <c r="BN1168" s="4"/>
      <c r="BO1168" s="4"/>
      <c r="BP1168" s="4"/>
      <c r="BQ1168" s="4"/>
      <c r="BR1168" s="4"/>
      <c r="BS1168" s="4"/>
      <c r="BT1168" s="4"/>
      <c r="BU1168" s="4"/>
      <c r="BV1168" s="4"/>
      <c r="BW1168" s="4"/>
      <c r="BX1168" s="4"/>
      <c r="BY1168" s="4"/>
      <c r="BZ1168" s="4"/>
      <c r="CA1168" s="4"/>
      <c r="CB1168" s="4"/>
      <c r="CC1168" s="4"/>
      <c r="CD1168" s="4"/>
      <c r="CE1168" s="4"/>
      <c r="CF1168" s="4"/>
      <c r="CG1168" s="4"/>
      <c r="CH1168" s="4"/>
      <c r="CI1168" s="4"/>
      <c r="CJ1168" s="4"/>
      <c r="CK1168" s="4"/>
      <c r="CL1168" s="4"/>
      <c r="CM1168" s="4"/>
      <c r="CN1168" s="4"/>
      <c r="CO1168" s="4"/>
      <c r="CP1168" s="4"/>
      <c r="CQ1168" s="4"/>
      <c r="CR1168" s="4"/>
      <c r="CS1168" s="4"/>
      <c r="CT1168" s="4"/>
      <c r="CU1168" s="4"/>
      <c r="CV1168" s="4"/>
      <c r="CW1168" s="4"/>
      <c r="CX1168" s="4"/>
      <c r="CY1168" s="4"/>
      <c r="CZ1168" s="4"/>
      <c r="DA1168" s="4"/>
      <c r="DB1168" s="4"/>
      <c r="DC1168" s="4"/>
      <c r="DD1168" s="3"/>
      <c r="DE1168" s="3"/>
      <c r="DF1168" s="8"/>
      <c r="DG1168" s="4"/>
      <c r="DH1168" s="4"/>
      <c r="DI1168" s="4"/>
      <c r="DJ1168" s="4"/>
      <c r="DK1168" s="8"/>
      <c r="DL1168" s="8"/>
      <c r="DM1168" s="8"/>
      <c r="DN1168" s="8"/>
      <c r="DO1168" s="4"/>
      <c r="DP1168" s="4"/>
      <c r="DQ1168" s="4"/>
      <c r="DR1168" s="4"/>
      <c r="DS1168" s="4"/>
      <c r="DT1168" s="4"/>
      <c r="DU1168" s="4"/>
      <c r="DV1168" s="4"/>
      <c r="DW1168" s="4"/>
      <c r="DX1168" s="4"/>
      <c r="DY1168" s="4"/>
      <c r="DZ1168" s="4"/>
      <c r="EA1168" s="4"/>
      <c r="EB1168" s="4"/>
      <c r="EC1168" s="4"/>
      <c r="ED1168" s="4"/>
      <c r="EE1168" s="4"/>
      <c r="EF1168" s="4"/>
      <c r="EG1168" s="4"/>
      <c r="EH1168" s="4"/>
      <c r="EI1168" s="8"/>
      <c r="EJ1168" s="8"/>
      <c r="EK1168" s="8"/>
      <c r="EL1168" s="8"/>
      <c r="EM1168" s="8"/>
      <c r="EN1168" s="8"/>
      <c r="EO1168" s="4"/>
      <c r="EP1168" s="4"/>
      <c r="EQ1168" s="4"/>
    </row>
    <row r="1169" spans="1:150" hidden="1">
      <c r="A1169" s="11" t="s">
        <v>9940</v>
      </c>
      <c r="B1169" s="3" t="s">
        <v>8373</v>
      </c>
      <c r="C1169" s="3">
        <v>2008</v>
      </c>
      <c r="D1169" s="3" t="s">
        <v>5598</v>
      </c>
      <c r="E1169" s="3" t="s">
        <v>8428</v>
      </c>
      <c r="F1169" s="3">
        <v>1</v>
      </c>
      <c r="G1169" s="3"/>
      <c r="H1169" s="3" t="s">
        <v>5602</v>
      </c>
      <c r="I1169" s="3"/>
      <c r="J1169" s="3"/>
      <c r="K1169" s="3" t="s">
        <v>970</v>
      </c>
      <c r="L1169" s="4"/>
      <c r="M1169" s="3" t="s">
        <v>8411</v>
      </c>
      <c r="T1169" s="3" t="s">
        <v>5600</v>
      </c>
      <c r="V1169" s="3"/>
      <c r="W1169" s="4"/>
      <c r="X1169" s="5" t="s">
        <v>5603</v>
      </c>
      <c r="Y1169" s="5"/>
      <c r="Z1169" s="3">
        <v>1</v>
      </c>
      <c r="AA1169" s="4"/>
      <c r="AB1169" s="4"/>
      <c r="AE1169" s="3"/>
      <c r="AF1169" s="3"/>
      <c r="AG1169" s="4"/>
      <c r="AH1169" s="4"/>
      <c r="AI1169" s="4"/>
      <c r="AJ1169" s="4"/>
      <c r="AK1169" s="3"/>
      <c r="AL1169" s="3"/>
      <c r="AM1169" s="3"/>
      <c r="AN1169" s="3"/>
      <c r="AO1169" s="4"/>
      <c r="AP1169" s="3"/>
      <c r="AQ1169" s="4"/>
      <c r="AR1169" s="3"/>
      <c r="AS1169" s="3"/>
      <c r="AT1169" s="4"/>
      <c r="AU1169" s="3"/>
      <c r="AV1169" s="4"/>
      <c r="AW1169" s="4"/>
      <c r="AX1169" s="4"/>
      <c r="AY1169" s="4"/>
      <c r="AZ1169" s="4"/>
      <c r="BA1169" s="4"/>
      <c r="BB1169" s="4"/>
      <c r="BC1169" s="4"/>
      <c r="BD1169" s="4"/>
      <c r="BE1169" s="4"/>
      <c r="BF1169" s="3"/>
      <c r="BG1169" s="3"/>
      <c r="BH1169" s="3"/>
      <c r="BI1169" s="4"/>
      <c r="BJ1169" s="3"/>
      <c r="BK1169" s="4"/>
      <c r="BL1169" s="3"/>
      <c r="BM1169" s="4"/>
      <c r="BN1169" s="4"/>
      <c r="BO1169" s="4"/>
      <c r="BP1169" s="4"/>
      <c r="BQ1169" s="4"/>
      <c r="BR1169" s="4"/>
      <c r="BS1169" s="4"/>
      <c r="BT1169" s="4"/>
      <c r="BU1169" s="4"/>
      <c r="BV1169" s="4"/>
      <c r="BW1169" s="4"/>
      <c r="BX1169" s="4"/>
      <c r="BY1169" s="4"/>
      <c r="BZ1169" s="4"/>
      <c r="CA1169" s="4"/>
      <c r="CB1169" s="4"/>
      <c r="CC1169" s="4"/>
      <c r="CD1169" s="4"/>
      <c r="CE1169" s="4"/>
      <c r="CF1169" s="4"/>
      <c r="CG1169" s="4"/>
      <c r="CH1169" s="4"/>
      <c r="CI1169" s="4"/>
      <c r="CJ1169" s="4"/>
      <c r="CK1169" s="4"/>
      <c r="CL1169" s="3"/>
      <c r="CM1169" s="3"/>
      <c r="CN1169" s="8"/>
      <c r="CO1169" s="4"/>
      <c r="CP1169" s="4"/>
      <c r="CQ1169" s="4"/>
      <c r="CR1169" s="4"/>
      <c r="CS1169" s="8"/>
      <c r="CT1169" s="8"/>
      <c r="CU1169" s="8"/>
      <c r="CV1169" s="8"/>
      <c r="CW1169" s="4"/>
      <c r="CX1169" s="4"/>
      <c r="CY1169" s="4"/>
      <c r="CZ1169" s="4"/>
      <c r="DA1169" s="4"/>
      <c r="DB1169" s="4"/>
      <c r="DC1169" s="4"/>
      <c r="DD1169" s="4"/>
      <c r="DE1169" s="4"/>
      <c r="DF1169" s="4"/>
      <c r="DG1169" s="4"/>
      <c r="DH1169" s="4"/>
      <c r="DI1169" s="4"/>
      <c r="DJ1169" s="4"/>
      <c r="DK1169" s="4"/>
      <c r="DL1169" s="4"/>
      <c r="DM1169" s="4"/>
      <c r="DN1169" s="4"/>
      <c r="DO1169" s="4"/>
      <c r="DP1169" s="4"/>
      <c r="DQ1169" s="8"/>
      <c r="DR1169" s="8"/>
      <c r="DS1169" s="8"/>
      <c r="DT1169" s="8"/>
      <c r="DU1169" s="8"/>
      <c r="DV1169" s="8"/>
      <c r="DW1169" s="4"/>
      <c r="DX1169" s="4"/>
      <c r="DY1169" s="4"/>
    </row>
    <row r="1170" spans="1:150" hidden="1">
      <c r="A1170" s="11" t="s">
        <v>9940</v>
      </c>
      <c r="B1170" s="3" t="s">
        <v>8379</v>
      </c>
      <c r="C1170" s="3">
        <v>2005</v>
      </c>
      <c r="D1170" s="3" t="s">
        <v>1693</v>
      </c>
      <c r="E1170" s="3" t="s">
        <v>8429</v>
      </c>
      <c r="F1170" s="3">
        <v>1</v>
      </c>
      <c r="G1170" s="4"/>
      <c r="H1170" s="3" t="s">
        <v>1697</v>
      </c>
      <c r="I1170" s="3"/>
      <c r="J1170" s="3"/>
      <c r="K1170" s="4"/>
      <c r="L1170" s="4"/>
      <c r="M1170" s="4"/>
      <c r="T1170" s="4"/>
      <c r="V1170" s="3"/>
      <c r="W1170" s="4"/>
      <c r="X1170" s="5" t="s">
        <v>1698</v>
      </c>
      <c r="Y1170" s="5"/>
      <c r="Z1170" s="3">
        <v>1</v>
      </c>
      <c r="AA1170" s="4"/>
      <c r="AB1170" s="4"/>
      <c r="AE1170" s="3"/>
      <c r="AF1170" s="3"/>
      <c r="AG1170" s="3"/>
      <c r="AH1170" s="4"/>
      <c r="AI1170" s="4"/>
      <c r="AJ1170" s="4"/>
      <c r="AK1170" s="3"/>
      <c r="AL1170" s="3"/>
      <c r="AM1170" s="3"/>
      <c r="AN1170" s="3"/>
      <c r="AO1170" s="4"/>
      <c r="AP1170" s="4"/>
      <c r="AQ1170" s="3"/>
      <c r="AR1170" s="4"/>
      <c r="AS1170" s="4"/>
      <c r="AT1170" s="4"/>
      <c r="AU1170" s="4"/>
      <c r="AV1170" s="4"/>
      <c r="AW1170" s="4"/>
      <c r="AX1170" s="4"/>
      <c r="AY1170" s="4"/>
      <c r="AZ1170" s="4"/>
      <c r="BA1170" s="3"/>
      <c r="BB1170" s="4"/>
      <c r="BC1170" s="3"/>
      <c r="BD1170" s="3"/>
      <c r="BE1170" s="3"/>
      <c r="BF1170" s="4"/>
      <c r="BG1170" s="3"/>
      <c r="BH1170" s="3"/>
      <c r="BI1170" s="4"/>
      <c r="BJ1170" s="4"/>
      <c r="BK1170" s="4"/>
      <c r="BL1170" s="4"/>
      <c r="BM1170" s="4"/>
      <c r="BN1170" s="4"/>
      <c r="BO1170" s="4"/>
      <c r="BP1170" s="4"/>
      <c r="BQ1170" s="4"/>
      <c r="BR1170" s="4"/>
      <c r="BS1170" s="4"/>
      <c r="BT1170" s="4"/>
      <c r="BU1170" s="4"/>
      <c r="BV1170" s="4"/>
      <c r="BW1170" s="4"/>
      <c r="BX1170" s="4"/>
      <c r="BY1170" s="4"/>
      <c r="BZ1170" s="4"/>
      <c r="CA1170" s="4"/>
      <c r="CB1170" s="4"/>
      <c r="CC1170" s="4"/>
      <c r="CD1170" s="4"/>
      <c r="CE1170" s="4"/>
      <c r="CF1170" s="4"/>
      <c r="CG1170" s="4"/>
      <c r="CH1170" s="4"/>
      <c r="CI1170" s="4"/>
      <c r="CJ1170" s="4"/>
      <c r="CK1170" s="4"/>
      <c r="CL1170" s="4"/>
      <c r="CM1170" s="4"/>
      <c r="CN1170" s="4"/>
      <c r="CO1170" s="4"/>
      <c r="CP1170" s="3"/>
      <c r="CQ1170" s="3"/>
      <c r="CR1170" s="8"/>
      <c r="CS1170" s="4"/>
      <c r="CT1170" s="4"/>
      <c r="CU1170" s="4"/>
      <c r="CV1170" s="4"/>
      <c r="CW1170" s="8"/>
      <c r="CX1170" s="8"/>
      <c r="CY1170" s="8"/>
      <c r="CZ1170" s="8"/>
      <c r="DA1170" s="4"/>
      <c r="DB1170" s="4"/>
      <c r="DC1170" s="4"/>
      <c r="DD1170" s="4"/>
      <c r="DE1170" s="8"/>
      <c r="DF1170" s="4"/>
      <c r="DG1170" s="4"/>
      <c r="DH1170" s="4"/>
      <c r="DI1170" s="4"/>
      <c r="DJ1170" s="4"/>
      <c r="DK1170" s="4"/>
      <c r="DL1170" s="4"/>
      <c r="DM1170" s="4"/>
      <c r="DN1170" s="4"/>
      <c r="DO1170" s="4"/>
      <c r="DP1170" s="4"/>
      <c r="DQ1170" s="4"/>
      <c r="DR1170" s="4"/>
      <c r="DS1170" s="4"/>
      <c r="DT1170" s="4"/>
      <c r="DU1170" s="8"/>
      <c r="DV1170" s="8"/>
      <c r="DW1170" s="8"/>
      <c r="DX1170" s="8"/>
      <c r="DY1170" s="8"/>
      <c r="DZ1170" s="8"/>
      <c r="EA1170" s="4"/>
      <c r="EB1170" s="4"/>
      <c r="EC1170" s="4"/>
    </row>
    <row r="1171" spans="1:150" hidden="1">
      <c r="A1171" s="11" t="s">
        <v>9940</v>
      </c>
      <c r="B1171" s="3" t="s">
        <v>8379</v>
      </c>
      <c r="C1171" s="3">
        <v>2018</v>
      </c>
      <c r="D1171" s="3" t="s">
        <v>8430</v>
      </c>
      <c r="E1171" s="3" t="s">
        <v>8431</v>
      </c>
      <c r="F1171" s="3">
        <v>1</v>
      </c>
      <c r="G1171" s="4"/>
      <c r="H1171" s="3" t="s">
        <v>8433</v>
      </c>
      <c r="I1171" s="3"/>
      <c r="J1171" s="3"/>
      <c r="K1171" s="4"/>
      <c r="L1171" s="4"/>
      <c r="M1171" s="4"/>
      <c r="T1171" s="4"/>
      <c r="V1171" s="3"/>
      <c r="W1171" s="4"/>
      <c r="X1171" s="5" t="s">
        <v>8432</v>
      </c>
      <c r="Y1171" s="5"/>
      <c r="Z1171" s="3">
        <v>1</v>
      </c>
      <c r="AA1171" s="4"/>
      <c r="AB1171" s="4"/>
      <c r="AE1171" s="3"/>
      <c r="AF1171" s="3"/>
      <c r="AG1171" s="3"/>
      <c r="AH1171" s="4"/>
      <c r="AI1171" s="4"/>
      <c r="AJ1171" s="4"/>
      <c r="AK1171" s="3"/>
      <c r="AL1171" s="3"/>
      <c r="AM1171" s="3"/>
      <c r="AN1171" s="3"/>
      <c r="AO1171" s="4"/>
      <c r="AP1171" s="4"/>
      <c r="AQ1171" s="4"/>
      <c r="AR1171" s="4"/>
      <c r="AS1171" s="4"/>
      <c r="AT1171" s="4"/>
      <c r="AU1171" s="4"/>
      <c r="AV1171" s="4"/>
      <c r="AW1171" s="4"/>
      <c r="AX1171" s="4"/>
      <c r="AY1171" s="4"/>
      <c r="AZ1171" s="4"/>
      <c r="BA1171" s="3"/>
      <c r="BB1171" s="4"/>
      <c r="BC1171" s="3"/>
      <c r="BD1171" s="3"/>
      <c r="BE1171" s="3"/>
      <c r="BF1171" s="4"/>
      <c r="BG1171" s="3"/>
      <c r="BH1171" s="3"/>
      <c r="BI1171" s="4"/>
      <c r="BJ1171" s="4"/>
      <c r="BK1171" s="4"/>
      <c r="BL1171" s="4"/>
      <c r="BM1171" s="4"/>
      <c r="BN1171" s="4"/>
      <c r="BO1171" s="4"/>
      <c r="BP1171" s="4"/>
      <c r="BQ1171" s="4"/>
      <c r="BR1171" s="4"/>
      <c r="BS1171" s="4"/>
      <c r="BT1171" s="4"/>
      <c r="BU1171" s="4"/>
      <c r="BV1171" s="4"/>
      <c r="BW1171" s="4"/>
      <c r="BX1171" s="4"/>
      <c r="BY1171" s="4"/>
      <c r="BZ1171" s="4"/>
      <c r="CA1171" s="4"/>
      <c r="CB1171" s="4"/>
      <c r="CC1171" s="4"/>
      <c r="CD1171" s="4"/>
      <c r="CE1171" s="4"/>
      <c r="CF1171" s="4"/>
      <c r="CG1171" s="4"/>
      <c r="CH1171" s="4"/>
      <c r="CI1171" s="4"/>
      <c r="CJ1171" s="4"/>
      <c r="CK1171" s="4"/>
      <c r="CL1171" s="4"/>
      <c r="CM1171" s="4"/>
      <c r="CN1171" s="4"/>
      <c r="CO1171" s="4"/>
      <c r="CP1171" s="4"/>
      <c r="CQ1171" s="4"/>
      <c r="CR1171" s="4"/>
      <c r="CS1171" s="4"/>
      <c r="CT1171" s="4"/>
      <c r="CU1171" s="4"/>
      <c r="CV1171" s="4"/>
      <c r="CW1171" s="4"/>
      <c r="CX1171" s="4"/>
      <c r="CY1171" s="3"/>
      <c r="CZ1171" s="3"/>
      <c r="DA1171" s="8"/>
      <c r="DB1171" s="4"/>
      <c r="DC1171" s="4"/>
      <c r="DD1171" s="4"/>
      <c r="DE1171" s="4"/>
      <c r="DF1171" s="8"/>
      <c r="DG1171" s="8"/>
      <c r="DH1171" s="8"/>
      <c r="DI1171" s="8"/>
      <c r="DJ1171" s="4"/>
      <c r="DK1171" s="4"/>
      <c r="DL1171" s="4"/>
      <c r="DM1171" s="4"/>
      <c r="DN1171" s="4"/>
      <c r="DO1171" s="4"/>
      <c r="DP1171" s="4"/>
      <c r="DQ1171" s="4"/>
      <c r="DR1171" s="4"/>
      <c r="DS1171" s="4"/>
      <c r="DT1171" s="4"/>
      <c r="DU1171" s="4"/>
      <c r="DV1171" s="4"/>
      <c r="DW1171" s="4"/>
      <c r="DX1171" s="4"/>
      <c r="DY1171" s="4"/>
      <c r="DZ1171" s="4"/>
      <c r="EA1171" s="4"/>
      <c r="EB1171" s="4"/>
      <c r="EC1171" s="4"/>
      <c r="ED1171" s="8"/>
      <c r="EE1171" s="8"/>
      <c r="EF1171" s="8"/>
      <c r="EG1171" s="8"/>
      <c r="EH1171" s="8"/>
      <c r="EI1171" s="8"/>
      <c r="EJ1171" s="4"/>
      <c r="EK1171" s="4"/>
      <c r="EL1171" s="4"/>
    </row>
    <row r="1172" spans="1:150" hidden="1">
      <c r="A1172" s="11" t="s">
        <v>9940</v>
      </c>
      <c r="B1172" s="3" t="s">
        <v>8373</v>
      </c>
      <c r="C1172" s="3">
        <v>2018</v>
      </c>
      <c r="D1172" s="3" t="s">
        <v>5437</v>
      </c>
      <c r="E1172" s="3" t="s">
        <v>9256</v>
      </c>
      <c r="F1172" s="3">
        <v>0</v>
      </c>
      <c r="G1172" s="3" t="s">
        <v>9249</v>
      </c>
      <c r="H1172" s="3" t="s">
        <v>9259</v>
      </c>
      <c r="I1172" s="3"/>
      <c r="J1172" s="3"/>
      <c r="K1172" s="3" t="s">
        <v>9257</v>
      </c>
      <c r="L1172" s="4"/>
      <c r="M1172" s="3" t="s">
        <v>9258</v>
      </c>
      <c r="T1172" s="3" t="s">
        <v>5440</v>
      </c>
      <c r="V1172" s="4"/>
      <c r="W1172" s="4"/>
      <c r="X1172" s="5" t="s">
        <v>5443</v>
      </c>
      <c r="Y1172" s="5"/>
      <c r="Z1172" s="4"/>
      <c r="AA1172" s="4"/>
      <c r="AB1172" s="4"/>
      <c r="AE1172" s="4"/>
      <c r="AF1172" s="4"/>
      <c r="AG1172" s="3"/>
      <c r="AH1172" s="3"/>
      <c r="AI1172" s="3"/>
      <c r="AJ1172" s="3"/>
      <c r="AK1172" s="4"/>
      <c r="AL1172" s="3"/>
      <c r="AM1172" s="4"/>
      <c r="AN1172" s="3"/>
      <c r="AO1172" s="3"/>
      <c r="AP1172" s="4"/>
      <c r="AQ1172" s="3"/>
      <c r="AR1172" s="4"/>
      <c r="AS1172" s="4"/>
      <c r="AT1172" s="4"/>
      <c r="AU1172" s="4"/>
      <c r="AV1172" s="4"/>
      <c r="AW1172" s="4"/>
      <c r="AX1172" s="4"/>
      <c r="AY1172" s="4"/>
      <c r="AZ1172" s="4"/>
      <c r="BA1172" s="4"/>
      <c r="BB1172" s="3"/>
      <c r="BC1172" s="3"/>
      <c r="BD1172" s="3"/>
      <c r="BE1172" s="4"/>
      <c r="BF1172" s="3"/>
      <c r="BG1172" s="4"/>
      <c r="BH1172" s="4"/>
      <c r="BI1172" s="3"/>
      <c r="BJ1172" s="4"/>
      <c r="BK1172" s="4"/>
      <c r="BL1172" s="4"/>
      <c r="BM1172" s="4"/>
      <c r="BN1172" s="4"/>
      <c r="BO1172" s="4"/>
      <c r="BP1172" s="4"/>
      <c r="BQ1172" s="4"/>
      <c r="BR1172" s="4"/>
      <c r="BS1172" s="4"/>
      <c r="BT1172" s="4"/>
      <c r="BU1172" s="4"/>
      <c r="BV1172" s="4"/>
      <c r="BW1172" s="4"/>
      <c r="BX1172" s="4"/>
      <c r="BY1172" s="4"/>
      <c r="BZ1172" s="4"/>
      <c r="CA1172" s="4"/>
      <c r="CB1172" s="4"/>
      <c r="CC1172" s="4"/>
      <c r="CD1172" s="4"/>
      <c r="CE1172" s="4"/>
      <c r="CF1172" s="4"/>
      <c r="CG1172" s="4"/>
      <c r="CH1172" s="4"/>
      <c r="CI1172" s="4"/>
      <c r="CJ1172" s="4"/>
      <c r="CK1172" s="4"/>
      <c r="CL1172" s="4"/>
      <c r="CM1172" s="4"/>
      <c r="CN1172" s="4"/>
      <c r="CO1172" s="4"/>
      <c r="CP1172" s="4"/>
      <c r="CQ1172" s="4"/>
      <c r="CR1172" s="4"/>
      <c r="CS1172" s="4"/>
      <c r="CT1172" s="4"/>
      <c r="CU1172" s="3"/>
      <c r="CV1172" s="3"/>
      <c r="CW1172" s="4"/>
      <c r="CX1172" s="4"/>
      <c r="CY1172" s="4"/>
      <c r="CZ1172" s="4"/>
      <c r="DA1172" s="4"/>
      <c r="DB1172" s="4"/>
      <c r="DC1172" s="4"/>
      <c r="DD1172" s="4"/>
      <c r="DE1172" s="4"/>
      <c r="DF1172" s="4"/>
      <c r="DG1172" s="4"/>
      <c r="DH1172" s="4"/>
      <c r="DI1172" s="4"/>
      <c r="DJ1172" s="4"/>
      <c r="DK1172" s="4"/>
      <c r="DL1172" s="4"/>
      <c r="DM1172" s="4"/>
      <c r="DN1172" s="4"/>
      <c r="DO1172" s="4"/>
      <c r="DP1172" s="4"/>
      <c r="DQ1172" s="4"/>
      <c r="DR1172" s="4"/>
      <c r="DS1172" s="4"/>
      <c r="DT1172" s="4"/>
      <c r="DU1172" s="4"/>
      <c r="DV1172" s="4"/>
      <c r="DW1172" s="4"/>
      <c r="DX1172" s="4"/>
      <c r="DY1172" s="4"/>
      <c r="DZ1172" s="4"/>
      <c r="EA1172" s="4"/>
      <c r="EB1172" s="4"/>
      <c r="EC1172" s="4"/>
      <c r="ED1172" s="4"/>
      <c r="EE1172" s="4"/>
      <c r="EF1172" s="4"/>
      <c r="EG1172" s="4"/>
      <c r="EH1172" s="4"/>
    </row>
    <row r="1173" spans="1:150" hidden="1">
      <c r="A1173" s="11" t="s">
        <v>9940</v>
      </c>
      <c r="B1173" s="3" t="s">
        <v>8373</v>
      </c>
      <c r="C1173" s="3">
        <v>2017</v>
      </c>
      <c r="D1173" s="3" t="s">
        <v>2284</v>
      </c>
      <c r="E1173" s="3" t="s">
        <v>9260</v>
      </c>
      <c r="F1173" s="3">
        <v>1</v>
      </c>
      <c r="G1173" s="3"/>
      <c r="H1173" s="3" t="s">
        <v>9261</v>
      </c>
      <c r="I1173" s="3"/>
      <c r="J1173" s="3"/>
      <c r="K1173" s="3" t="s">
        <v>1073</v>
      </c>
      <c r="L1173" s="4"/>
      <c r="M1173" s="3" t="s">
        <v>8445</v>
      </c>
      <c r="T1173" s="3" t="s">
        <v>2286</v>
      </c>
      <c r="V1173" s="3"/>
      <c r="W1173" s="3"/>
      <c r="X1173" s="5" t="s">
        <v>2289</v>
      </c>
      <c r="Y1173" s="5"/>
      <c r="Z1173" s="3">
        <v>0</v>
      </c>
      <c r="AA1173" s="3" t="s">
        <v>9178</v>
      </c>
      <c r="AB1173" s="4"/>
      <c r="AE1173" s="3"/>
      <c r="AF1173" s="4"/>
      <c r="AG1173" s="4"/>
      <c r="AH1173" s="4"/>
      <c r="AI1173" s="4"/>
      <c r="AJ1173" s="4"/>
      <c r="AK1173" s="3"/>
      <c r="AL1173" s="3"/>
      <c r="AM1173" s="3"/>
      <c r="AN1173" s="3"/>
      <c r="AO1173" s="4"/>
      <c r="AP1173" s="3"/>
      <c r="AQ1173" s="4"/>
      <c r="AR1173" s="10"/>
      <c r="AS1173" s="3"/>
      <c r="AT1173" s="4"/>
      <c r="AU1173" s="3"/>
      <c r="AV1173" s="4"/>
      <c r="AW1173" s="4"/>
      <c r="AX1173" s="4"/>
      <c r="AY1173" s="4"/>
      <c r="AZ1173" s="4"/>
      <c r="BA1173" s="4"/>
      <c r="BB1173" s="4"/>
      <c r="BC1173" s="4"/>
      <c r="BD1173" s="4"/>
      <c r="BE1173" s="4"/>
      <c r="BF1173" s="3"/>
      <c r="BG1173" s="3"/>
      <c r="BH1173" s="3"/>
      <c r="BI1173" s="4"/>
      <c r="BJ1173" s="3"/>
      <c r="BK1173" s="4"/>
      <c r="BL1173" s="4"/>
      <c r="BM1173" s="3"/>
      <c r="BN1173" s="4"/>
      <c r="BO1173" s="4"/>
      <c r="BP1173" s="4"/>
      <c r="BQ1173" s="4"/>
      <c r="BR1173" s="4"/>
      <c r="BS1173" s="4"/>
      <c r="BT1173" s="4"/>
      <c r="BU1173" s="4"/>
      <c r="BV1173" s="4"/>
      <c r="BW1173" s="4"/>
      <c r="BX1173" s="4"/>
      <c r="BY1173" s="4"/>
      <c r="BZ1173" s="4"/>
      <c r="CA1173" s="4"/>
      <c r="CB1173" s="4"/>
      <c r="CC1173" s="4"/>
      <c r="CD1173" s="4"/>
      <c r="CE1173" s="4"/>
      <c r="CF1173" s="4"/>
      <c r="CG1173" s="4"/>
      <c r="CH1173" s="4"/>
      <c r="CI1173" s="4"/>
      <c r="CJ1173" s="4"/>
      <c r="CK1173" s="4"/>
      <c r="CL1173" s="4"/>
      <c r="CM1173" s="4"/>
      <c r="CN1173" s="4"/>
      <c r="CO1173" s="4"/>
      <c r="CP1173" s="4"/>
      <c r="CQ1173" s="4"/>
      <c r="CR1173" s="4"/>
      <c r="CS1173" s="4"/>
      <c r="CT1173" s="4"/>
      <c r="CU1173" s="4"/>
      <c r="CV1173" s="4"/>
      <c r="CW1173" s="3"/>
      <c r="CX1173" s="3"/>
      <c r="CY1173" s="4"/>
      <c r="CZ1173" s="4"/>
      <c r="DA1173" s="4"/>
      <c r="DB1173" s="4"/>
      <c r="DC1173" s="4"/>
      <c r="DD1173" s="4"/>
      <c r="DE1173" s="4"/>
      <c r="DF1173" s="4"/>
      <c r="DG1173" s="4"/>
      <c r="DH1173" s="4"/>
      <c r="DI1173" s="4"/>
      <c r="DJ1173" s="4"/>
      <c r="DK1173" s="4"/>
      <c r="DL1173" s="4"/>
      <c r="DM1173" s="4"/>
      <c r="DN1173" s="4"/>
      <c r="DO1173" s="4"/>
      <c r="DP1173" s="4"/>
      <c r="DQ1173" s="4"/>
      <c r="DR1173" s="4"/>
      <c r="DS1173" s="4"/>
      <c r="DT1173" s="4"/>
      <c r="DU1173" s="4"/>
      <c r="DV1173" s="4"/>
      <c r="DW1173" s="4"/>
      <c r="DX1173" s="4"/>
      <c r="DY1173" s="4"/>
      <c r="DZ1173" s="4"/>
      <c r="EA1173" s="4"/>
      <c r="EB1173" s="4"/>
      <c r="EC1173" s="4"/>
      <c r="ED1173" s="4"/>
      <c r="EE1173" s="4"/>
      <c r="EF1173" s="4"/>
      <c r="EG1173" s="4"/>
      <c r="EH1173" s="4"/>
      <c r="EI1173" s="4"/>
      <c r="EJ1173" s="4"/>
    </row>
    <row r="1174" spans="1:150" hidden="1">
      <c r="A1174" s="11" t="s">
        <v>9940</v>
      </c>
      <c r="B1174" s="3" t="s">
        <v>8373</v>
      </c>
      <c r="C1174" s="3">
        <v>2019</v>
      </c>
      <c r="D1174" s="3" t="s">
        <v>8434</v>
      </c>
      <c r="E1174" s="3" t="s">
        <v>8435</v>
      </c>
      <c r="F1174" s="3">
        <v>1</v>
      </c>
      <c r="G1174" s="3"/>
      <c r="H1174" s="3" t="s">
        <v>8437</v>
      </c>
      <c r="I1174" s="3"/>
      <c r="J1174" s="3"/>
      <c r="K1174" s="3" t="s">
        <v>22</v>
      </c>
      <c r="L1174" s="4"/>
      <c r="M1174" s="3" t="s">
        <v>8436</v>
      </c>
      <c r="T1174" s="3" t="s">
        <v>2411</v>
      </c>
      <c r="V1174" s="3"/>
      <c r="W1174" s="3"/>
      <c r="X1174" s="5" t="s">
        <v>2414</v>
      </c>
      <c r="Y1174" s="5"/>
      <c r="Z1174" s="3">
        <v>1</v>
      </c>
      <c r="AA1174" s="4"/>
      <c r="AB1174" s="3"/>
      <c r="AE1174" s="3"/>
      <c r="AF1174" s="3"/>
      <c r="AG1174" s="4"/>
      <c r="AH1174" s="4"/>
      <c r="AI1174" s="4"/>
      <c r="AJ1174" s="4"/>
      <c r="AK1174" s="3"/>
      <c r="AL1174" s="3"/>
      <c r="AM1174" s="3"/>
      <c r="AN1174" s="3"/>
      <c r="AO1174" s="4"/>
      <c r="AP1174" s="3"/>
      <c r="AQ1174" s="4"/>
      <c r="AR1174" s="3"/>
      <c r="AS1174" s="3"/>
      <c r="AT1174" s="4"/>
      <c r="AU1174" s="3"/>
      <c r="AV1174" s="4"/>
      <c r="AW1174" s="4"/>
      <c r="AX1174" s="4"/>
      <c r="AY1174" s="4"/>
      <c r="AZ1174" s="4"/>
      <c r="BA1174" s="4"/>
      <c r="BB1174" s="4"/>
      <c r="BC1174" s="4"/>
      <c r="BD1174" s="4"/>
      <c r="BE1174" s="4"/>
      <c r="BF1174" s="3"/>
      <c r="BG1174" s="3"/>
      <c r="BH1174" s="3"/>
      <c r="BI1174" s="4"/>
      <c r="BJ1174" s="3"/>
      <c r="BK1174" s="4"/>
      <c r="BL1174" s="4"/>
      <c r="BM1174" s="3"/>
      <c r="BN1174" s="4"/>
      <c r="BO1174" s="4"/>
      <c r="BP1174" s="4"/>
      <c r="BQ1174" s="4"/>
      <c r="BR1174" s="4"/>
      <c r="BS1174" s="4"/>
      <c r="BT1174" s="4"/>
      <c r="BU1174" s="4"/>
      <c r="BV1174" s="4"/>
      <c r="BW1174" s="4"/>
      <c r="BX1174" s="4"/>
      <c r="BY1174" s="4"/>
      <c r="BZ1174" s="4"/>
      <c r="CA1174" s="4"/>
      <c r="CB1174" s="4"/>
      <c r="CC1174" s="4"/>
      <c r="CD1174" s="4"/>
      <c r="CE1174" s="4"/>
      <c r="CF1174" s="4"/>
      <c r="CG1174" s="4"/>
      <c r="CH1174" s="4"/>
      <c r="CI1174" s="4"/>
      <c r="CJ1174" s="4"/>
      <c r="CK1174" s="4"/>
      <c r="CL1174" s="4"/>
      <c r="CM1174" s="4"/>
      <c r="CN1174" s="4"/>
      <c r="CO1174" s="4"/>
      <c r="CP1174" s="4"/>
      <c r="CQ1174" s="4"/>
      <c r="CR1174" s="4"/>
      <c r="CS1174" s="4"/>
      <c r="CT1174" s="4"/>
      <c r="CU1174" s="4"/>
      <c r="CV1174" s="4"/>
      <c r="CW1174" s="4"/>
      <c r="CX1174" s="4"/>
      <c r="CY1174" s="3"/>
      <c r="CZ1174" s="3"/>
      <c r="DA1174" s="8"/>
      <c r="DB1174" s="4"/>
      <c r="DC1174" s="4"/>
      <c r="DD1174" s="4"/>
      <c r="DE1174" s="4"/>
      <c r="DF1174" s="8"/>
      <c r="DG1174" s="8"/>
      <c r="DH1174" s="8"/>
      <c r="DI1174" s="8"/>
      <c r="DJ1174" s="4"/>
      <c r="DK1174" s="4"/>
      <c r="DL1174" s="4"/>
      <c r="DM1174" s="4"/>
      <c r="DN1174" s="4"/>
      <c r="DO1174" s="4"/>
      <c r="DP1174" s="4"/>
      <c r="DQ1174" s="4"/>
      <c r="DR1174" s="4"/>
      <c r="DS1174" s="4"/>
      <c r="DT1174" s="4"/>
      <c r="DU1174" s="4"/>
      <c r="DV1174" s="4"/>
      <c r="DW1174" s="4"/>
      <c r="DX1174" s="4"/>
      <c r="DY1174" s="4"/>
      <c r="DZ1174" s="4"/>
      <c r="EA1174" s="4"/>
      <c r="EB1174" s="4"/>
      <c r="EC1174" s="4"/>
      <c r="ED1174" s="8"/>
      <c r="EE1174" s="14"/>
      <c r="EF1174" s="8"/>
      <c r="EG1174" s="8"/>
      <c r="EH1174" s="8"/>
      <c r="EI1174" s="8"/>
      <c r="EJ1174" s="4"/>
      <c r="EK1174" s="4"/>
      <c r="EL1174" s="4"/>
    </row>
    <row r="1175" spans="1:150" hidden="1">
      <c r="A1175" s="11" t="s">
        <v>9940</v>
      </c>
      <c r="B1175" s="3" t="s">
        <v>8373</v>
      </c>
      <c r="C1175" s="3">
        <v>2020</v>
      </c>
      <c r="D1175" s="3" t="s">
        <v>8438</v>
      </c>
      <c r="E1175" s="3" t="s">
        <v>8439</v>
      </c>
      <c r="F1175" s="3">
        <v>1</v>
      </c>
      <c r="G1175" s="3"/>
      <c r="H1175" s="3" t="s">
        <v>8443</v>
      </c>
      <c r="I1175" s="3"/>
      <c r="J1175" s="3"/>
      <c r="K1175" s="3" t="s">
        <v>4086</v>
      </c>
      <c r="L1175" s="4"/>
      <c r="M1175" s="3" t="s">
        <v>8440</v>
      </c>
      <c r="T1175" s="3" t="s">
        <v>8441</v>
      </c>
      <c r="V1175" s="3"/>
      <c r="W1175" s="4"/>
      <c r="X1175" s="5" t="s">
        <v>8442</v>
      </c>
      <c r="Y1175" s="5"/>
      <c r="Z1175" s="3">
        <v>1</v>
      </c>
      <c r="AA1175" s="4"/>
      <c r="AB1175" s="4"/>
      <c r="AE1175" s="3"/>
      <c r="AF1175" s="3"/>
      <c r="AG1175" s="4"/>
      <c r="AH1175" s="4"/>
      <c r="AI1175" s="4"/>
      <c r="AJ1175" s="4"/>
      <c r="AK1175" s="3"/>
      <c r="AL1175" s="7"/>
      <c r="AM1175" s="3"/>
      <c r="AN1175" s="3"/>
      <c r="AO1175" s="4"/>
      <c r="AP1175" s="4"/>
      <c r="AQ1175" s="4"/>
      <c r="AR1175" s="4"/>
      <c r="AS1175" s="4"/>
      <c r="AT1175" s="4"/>
      <c r="AU1175" s="3"/>
      <c r="AV1175" s="4"/>
      <c r="AW1175" s="4"/>
      <c r="AX1175" s="4"/>
      <c r="AY1175" s="4"/>
      <c r="AZ1175" s="4"/>
      <c r="BA1175" s="4"/>
      <c r="BB1175" s="4"/>
      <c r="BC1175" s="4"/>
      <c r="BD1175" s="4"/>
      <c r="BE1175" s="4"/>
      <c r="BF1175" s="3"/>
      <c r="BG1175" s="3"/>
      <c r="BH1175" s="3"/>
      <c r="BI1175" s="4"/>
      <c r="BJ1175" s="3"/>
      <c r="BK1175" s="4"/>
      <c r="BL1175" s="4"/>
      <c r="BM1175" s="3"/>
      <c r="BN1175" s="4"/>
      <c r="BO1175" s="4"/>
      <c r="BP1175" s="4"/>
      <c r="BQ1175" s="4"/>
      <c r="BR1175" s="4"/>
      <c r="BS1175" s="4"/>
      <c r="BT1175" s="4"/>
      <c r="BU1175" s="4"/>
      <c r="BV1175" s="4"/>
      <c r="BW1175" s="4"/>
      <c r="BX1175" s="4"/>
      <c r="BY1175" s="4"/>
      <c r="BZ1175" s="4"/>
      <c r="CA1175" s="4"/>
      <c r="CB1175" s="4"/>
      <c r="CC1175" s="4"/>
      <c r="CD1175" s="4"/>
      <c r="CE1175" s="4"/>
      <c r="CF1175" s="4"/>
      <c r="CG1175" s="4"/>
      <c r="CH1175" s="4"/>
      <c r="CI1175" s="4"/>
      <c r="CJ1175" s="4"/>
      <c r="CK1175" s="4"/>
      <c r="CL1175" s="4"/>
      <c r="CM1175" s="4"/>
      <c r="CN1175" s="4"/>
      <c r="CO1175" s="4"/>
      <c r="CP1175" s="4"/>
      <c r="CQ1175" s="4"/>
      <c r="CR1175" s="4"/>
      <c r="CS1175" s="4"/>
      <c r="CT1175" s="4"/>
      <c r="CU1175" s="4"/>
      <c r="CV1175" s="4"/>
      <c r="CW1175" s="4"/>
      <c r="CX1175" s="4"/>
      <c r="CY1175" s="4"/>
      <c r="CZ1175" s="4"/>
      <c r="DA1175" s="4"/>
      <c r="DB1175" s="4"/>
      <c r="DC1175" s="4"/>
      <c r="DD1175" s="4"/>
      <c r="DE1175" s="4"/>
      <c r="DF1175" s="4"/>
      <c r="DG1175" s="3"/>
      <c r="DH1175" s="3"/>
      <c r="DI1175" s="8"/>
      <c r="DJ1175" s="4"/>
      <c r="DK1175" s="4"/>
      <c r="DL1175" s="4"/>
      <c r="DM1175" s="4"/>
      <c r="DN1175" s="8"/>
      <c r="DO1175" s="8"/>
      <c r="DP1175" s="8"/>
      <c r="DQ1175" s="8"/>
      <c r="DR1175" s="4"/>
      <c r="DS1175" s="4"/>
      <c r="DT1175" s="4"/>
      <c r="DU1175" s="4"/>
      <c r="DV1175" s="4"/>
      <c r="DW1175" s="4"/>
      <c r="DX1175" s="4"/>
      <c r="DY1175" s="4"/>
      <c r="DZ1175" s="4"/>
      <c r="EA1175" s="4"/>
      <c r="EB1175" s="4"/>
      <c r="EC1175" s="4"/>
      <c r="ED1175" s="4"/>
      <c r="EE1175" s="4"/>
      <c r="EF1175" s="4"/>
      <c r="EG1175" s="4"/>
      <c r="EH1175" s="4"/>
      <c r="EI1175" s="4"/>
      <c r="EJ1175" s="4"/>
      <c r="EK1175" s="4"/>
      <c r="EL1175" s="8"/>
      <c r="EM1175" s="8"/>
      <c r="EN1175" s="8"/>
      <c r="EO1175" s="8"/>
      <c r="EP1175" s="8"/>
      <c r="EQ1175" s="8"/>
      <c r="ER1175" s="4"/>
      <c r="ES1175" s="4"/>
      <c r="ET1175" s="4"/>
    </row>
    <row r="1176" spans="1:150" hidden="1">
      <c r="A1176" s="11" t="s">
        <v>9940</v>
      </c>
      <c r="B1176" s="3" t="s">
        <v>8373</v>
      </c>
      <c r="C1176" s="3">
        <v>2018</v>
      </c>
      <c r="D1176" s="3" t="s">
        <v>1249</v>
      </c>
      <c r="E1176" s="3" t="s">
        <v>8444</v>
      </c>
      <c r="F1176" s="3">
        <v>1</v>
      </c>
      <c r="G1176" s="3"/>
      <c r="H1176" s="3" t="s">
        <v>1253</v>
      </c>
      <c r="I1176" s="3"/>
      <c r="J1176" s="3"/>
      <c r="K1176" s="3" t="s">
        <v>1073</v>
      </c>
      <c r="L1176" s="4"/>
      <c r="M1176" s="3" t="s">
        <v>8445</v>
      </c>
      <c r="T1176" s="3" t="s">
        <v>1251</v>
      </c>
      <c r="V1176" s="3"/>
      <c r="W1176" s="3"/>
      <c r="X1176" s="5" t="s">
        <v>1254</v>
      </c>
      <c r="Y1176" s="5"/>
      <c r="Z1176" s="3">
        <v>1</v>
      </c>
      <c r="AA1176" s="4"/>
      <c r="AB1176" s="3"/>
      <c r="AE1176" s="3"/>
      <c r="AF1176" s="3"/>
      <c r="AG1176" s="4"/>
      <c r="AH1176" s="4"/>
      <c r="AI1176" s="4"/>
      <c r="AJ1176" s="4"/>
      <c r="AK1176" s="3"/>
      <c r="AL1176" s="3"/>
      <c r="AM1176" s="3"/>
      <c r="AN1176" s="3"/>
      <c r="AO1176" s="4"/>
      <c r="AP1176" s="3"/>
      <c r="AQ1176" s="4"/>
      <c r="AR1176" s="3"/>
      <c r="AS1176" s="3"/>
      <c r="AT1176" s="4"/>
      <c r="AU1176" s="3"/>
      <c r="AV1176" s="4"/>
      <c r="AW1176" s="4"/>
      <c r="AX1176" s="4"/>
      <c r="AY1176" s="4"/>
      <c r="AZ1176" s="4"/>
      <c r="BA1176" s="4"/>
      <c r="BB1176" s="4"/>
      <c r="BC1176" s="4"/>
      <c r="BD1176" s="4"/>
      <c r="BE1176" s="4"/>
      <c r="BF1176" s="3"/>
      <c r="BG1176" s="3"/>
      <c r="BH1176" s="3"/>
      <c r="BI1176" s="4"/>
      <c r="BJ1176" s="3"/>
      <c r="BK1176" s="4"/>
      <c r="BL1176" s="4"/>
      <c r="BM1176" s="3"/>
      <c r="BN1176" s="4"/>
      <c r="BO1176" s="4"/>
      <c r="BP1176" s="4"/>
      <c r="BQ1176" s="4"/>
      <c r="BR1176" s="4"/>
      <c r="BS1176" s="4"/>
      <c r="BT1176" s="4"/>
      <c r="BU1176" s="4"/>
      <c r="BV1176" s="4"/>
      <c r="BW1176" s="4"/>
      <c r="BX1176" s="4"/>
      <c r="BY1176" s="4"/>
      <c r="BZ1176" s="4"/>
      <c r="CA1176" s="4"/>
      <c r="CB1176" s="4"/>
      <c r="CC1176" s="4"/>
      <c r="CD1176" s="4"/>
      <c r="CE1176" s="4"/>
      <c r="CF1176" s="4"/>
      <c r="CG1176" s="4"/>
      <c r="CH1176" s="4"/>
      <c r="CI1176" s="4"/>
      <c r="CJ1176" s="4"/>
      <c r="CK1176" s="4"/>
      <c r="CL1176" s="4"/>
      <c r="CM1176" s="4"/>
      <c r="CN1176" s="4"/>
      <c r="CO1176" s="4"/>
      <c r="CP1176" s="4"/>
      <c r="CQ1176" s="4"/>
      <c r="CR1176" s="4"/>
      <c r="CS1176" s="4"/>
      <c r="CT1176" s="4"/>
      <c r="CU1176" s="4"/>
      <c r="CV1176" s="4"/>
      <c r="CW1176" s="4"/>
      <c r="CX1176" s="4"/>
      <c r="CY1176" s="4"/>
      <c r="CZ1176" s="4"/>
      <c r="DA1176" s="3"/>
      <c r="DB1176" s="3"/>
      <c r="DC1176" s="8"/>
      <c r="DD1176" s="4"/>
      <c r="DE1176" s="4"/>
      <c r="DF1176" s="4"/>
      <c r="DG1176" s="4"/>
      <c r="DH1176" s="8"/>
      <c r="DI1176" s="8"/>
      <c r="DJ1176" s="8"/>
      <c r="DK1176" s="8"/>
      <c r="DL1176" s="4"/>
      <c r="DM1176" s="4"/>
      <c r="DN1176" s="4"/>
      <c r="DO1176" s="4"/>
      <c r="DP1176" s="4"/>
      <c r="DQ1176" s="4"/>
      <c r="DR1176" s="4"/>
      <c r="DS1176" s="4"/>
      <c r="DT1176" s="4"/>
      <c r="DU1176" s="4"/>
      <c r="DV1176" s="4"/>
      <c r="DW1176" s="4"/>
      <c r="DX1176" s="4"/>
      <c r="DY1176" s="4"/>
      <c r="DZ1176" s="4"/>
      <c r="EA1176" s="4"/>
      <c r="EB1176" s="4"/>
      <c r="EC1176" s="4"/>
      <c r="ED1176" s="4"/>
      <c r="EE1176" s="4"/>
      <c r="EF1176" s="8"/>
      <c r="EG1176" s="8"/>
      <c r="EH1176" s="8"/>
      <c r="EI1176" s="8"/>
      <c r="EJ1176" s="8"/>
      <c r="EK1176" s="8"/>
      <c r="EL1176" s="4"/>
      <c r="EM1176" s="4"/>
      <c r="EN1176" s="4"/>
    </row>
    <row r="1177" spans="1:150" hidden="1">
      <c r="A1177" s="11" t="s">
        <v>9940</v>
      </c>
      <c r="B1177" s="3" t="s">
        <v>8373</v>
      </c>
      <c r="C1177" s="3">
        <v>2019</v>
      </c>
      <c r="D1177" s="3" t="s">
        <v>1663</v>
      </c>
      <c r="E1177" s="3" t="s">
        <v>8446</v>
      </c>
      <c r="F1177" s="3">
        <v>1</v>
      </c>
      <c r="G1177" s="3"/>
      <c r="H1177" s="3" t="s">
        <v>8447</v>
      </c>
      <c r="I1177" s="3"/>
      <c r="J1177" s="3"/>
      <c r="K1177" s="3" t="s">
        <v>252</v>
      </c>
      <c r="L1177" s="4"/>
      <c r="M1177" s="3" t="s">
        <v>8427</v>
      </c>
      <c r="T1177" s="3" t="s">
        <v>1665</v>
      </c>
      <c r="V1177" s="3"/>
      <c r="W1177" s="4"/>
      <c r="X1177" s="5" t="s">
        <v>1668</v>
      </c>
      <c r="Y1177" s="5"/>
      <c r="Z1177" s="3">
        <v>1</v>
      </c>
      <c r="AA1177" s="4"/>
      <c r="AB1177" s="4"/>
      <c r="AE1177" s="3"/>
      <c r="AF1177" s="3"/>
      <c r="AG1177" s="4"/>
      <c r="AH1177" s="4"/>
      <c r="AI1177" s="4"/>
      <c r="AJ1177" s="4"/>
      <c r="AK1177" s="3"/>
      <c r="AL1177" s="3"/>
      <c r="AM1177" s="3"/>
      <c r="AN1177" s="3"/>
      <c r="AO1177" s="4"/>
      <c r="AP1177" s="3"/>
      <c r="AQ1177" s="4"/>
      <c r="AR1177" s="3"/>
      <c r="AS1177" s="3"/>
      <c r="AT1177" s="4"/>
      <c r="AU1177" s="3"/>
      <c r="AV1177" s="4"/>
      <c r="AW1177" s="4"/>
      <c r="AX1177" s="4"/>
      <c r="AY1177" s="4"/>
      <c r="AZ1177" s="4"/>
      <c r="BA1177" s="4"/>
      <c r="BB1177" s="4"/>
      <c r="BC1177" s="4"/>
      <c r="BD1177" s="4"/>
      <c r="BE1177" s="4"/>
      <c r="BF1177" s="3"/>
      <c r="BG1177" s="3"/>
      <c r="BH1177" s="3"/>
      <c r="BI1177" s="4"/>
      <c r="BJ1177" s="3"/>
      <c r="BK1177" s="4"/>
      <c r="BL1177" s="4"/>
      <c r="BM1177" s="3"/>
      <c r="BN1177" s="4"/>
      <c r="BO1177" s="4"/>
      <c r="BP1177" s="4"/>
      <c r="BQ1177" s="4"/>
      <c r="BR1177" s="4"/>
      <c r="BS1177" s="4"/>
      <c r="BT1177" s="4"/>
      <c r="BU1177" s="4"/>
      <c r="BV1177" s="4"/>
      <c r="BW1177" s="4"/>
      <c r="BX1177" s="4"/>
      <c r="BY1177" s="4"/>
      <c r="BZ1177" s="4"/>
      <c r="CA1177" s="4"/>
      <c r="CB1177" s="4"/>
      <c r="CC1177" s="4"/>
      <c r="CD1177" s="4"/>
      <c r="CE1177" s="4"/>
      <c r="CF1177" s="4"/>
      <c r="CG1177" s="4"/>
      <c r="CH1177" s="4"/>
      <c r="CI1177" s="4"/>
      <c r="CJ1177" s="4"/>
      <c r="CK1177" s="4"/>
      <c r="CL1177" s="4"/>
      <c r="CM1177" s="4"/>
      <c r="CN1177" s="4"/>
      <c r="CO1177" s="4"/>
      <c r="CP1177" s="4"/>
      <c r="CQ1177" s="4"/>
      <c r="CR1177" s="4"/>
      <c r="CS1177" s="4"/>
      <c r="CT1177" s="4"/>
      <c r="CU1177" s="4"/>
      <c r="CV1177" s="4"/>
      <c r="CW1177" s="4"/>
      <c r="CX1177" s="4"/>
      <c r="CY1177" s="4"/>
      <c r="CZ1177" s="4"/>
      <c r="DA1177" s="4"/>
      <c r="DB1177" s="4"/>
      <c r="DC1177" s="4"/>
      <c r="DD1177" s="3"/>
      <c r="DE1177" s="3"/>
      <c r="DF1177" s="8"/>
      <c r="DG1177" s="4"/>
      <c r="DH1177" s="4"/>
      <c r="DI1177" s="4"/>
      <c r="DJ1177" s="4"/>
      <c r="DK1177" s="8"/>
      <c r="DL1177" s="8"/>
      <c r="DM1177" s="8"/>
      <c r="DN1177" s="8"/>
      <c r="DO1177" s="4"/>
      <c r="DP1177" s="4"/>
      <c r="DQ1177" s="4"/>
      <c r="DR1177" s="4"/>
      <c r="DS1177" s="4"/>
      <c r="DT1177" s="4"/>
      <c r="DU1177" s="4"/>
      <c r="DV1177" s="4"/>
      <c r="DW1177" s="4"/>
      <c r="DX1177" s="4"/>
      <c r="DY1177" s="4"/>
      <c r="DZ1177" s="4"/>
      <c r="EA1177" s="4"/>
      <c r="EB1177" s="4"/>
      <c r="EC1177" s="4"/>
      <c r="ED1177" s="4"/>
      <c r="EE1177" s="4"/>
      <c r="EF1177" s="4"/>
      <c r="EG1177" s="4"/>
      <c r="EH1177" s="4"/>
      <c r="EI1177" s="8"/>
      <c r="EJ1177" s="8"/>
      <c r="EK1177" s="8"/>
      <c r="EL1177" s="8"/>
      <c r="EM1177" s="8"/>
      <c r="EN1177" s="8"/>
      <c r="EO1177" s="4"/>
      <c r="EP1177" s="4"/>
      <c r="EQ1177" s="4"/>
    </row>
    <row r="1178" spans="1:150" hidden="1">
      <c r="A1178" s="11" t="s">
        <v>9940</v>
      </c>
      <c r="B1178" s="3" t="s">
        <v>8373</v>
      </c>
      <c r="C1178" s="3">
        <v>2012</v>
      </c>
      <c r="D1178" s="3" t="s">
        <v>6082</v>
      </c>
      <c r="E1178" s="3" t="s">
        <v>9262</v>
      </c>
      <c r="F1178" s="3">
        <v>1</v>
      </c>
      <c r="G1178" s="3"/>
      <c r="H1178" s="3" t="s">
        <v>6086</v>
      </c>
      <c r="I1178" s="3"/>
      <c r="J1178" s="3"/>
      <c r="K1178" s="3" t="s">
        <v>1152</v>
      </c>
      <c r="L1178" s="4"/>
      <c r="M1178" s="3" t="s">
        <v>8786</v>
      </c>
      <c r="T1178" s="3" t="s">
        <v>6084</v>
      </c>
      <c r="V1178" s="3"/>
      <c r="W1178" s="3"/>
      <c r="X1178" s="5" t="s">
        <v>6087</v>
      </c>
      <c r="Y1178" s="5"/>
      <c r="Z1178" s="3">
        <v>0</v>
      </c>
      <c r="AA1178" s="3" t="s">
        <v>9178</v>
      </c>
      <c r="AB1178" s="4"/>
      <c r="AE1178" s="3"/>
      <c r="AF1178" s="4"/>
      <c r="AG1178" s="4"/>
      <c r="AH1178" s="4"/>
      <c r="AI1178" s="4"/>
      <c r="AJ1178" s="4"/>
      <c r="AK1178" s="3"/>
      <c r="AL1178" s="3"/>
      <c r="AM1178" s="3"/>
      <c r="AN1178" s="3"/>
      <c r="AO1178" s="4"/>
      <c r="AP1178" s="3"/>
      <c r="AQ1178" s="4"/>
      <c r="AR1178" s="3"/>
      <c r="AS1178" s="3"/>
      <c r="AT1178" s="4"/>
      <c r="AU1178" s="3"/>
      <c r="AV1178" s="4"/>
      <c r="AW1178" s="4"/>
      <c r="AX1178" s="4"/>
      <c r="AY1178" s="4"/>
      <c r="AZ1178" s="4"/>
      <c r="BA1178" s="4"/>
      <c r="BB1178" s="4"/>
      <c r="BC1178" s="4"/>
      <c r="BD1178" s="4"/>
      <c r="BE1178" s="4"/>
      <c r="BF1178" s="3"/>
      <c r="BG1178" s="3"/>
      <c r="BH1178" s="3"/>
      <c r="BI1178" s="4"/>
      <c r="BJ1178" s="3"/>
      <c r="BK1178" s="4"/>
      <c r="BL1178" s="4"/>
      <c r="BM1178" s="3"/>
      <c r="BN1178" s="4"/>
      <c r="BO1178" s="4"/>
      <c r="BP1178" s="4"/>
      <c r="BQ1178" s="4"/>
      <c r="BR1178" s="4"/>
      <c r="BS1178" s="4"/>
      <c r="BT1178" s="4"/>
      <c r="BU1178" s="4"/>
      <c r="BV1178" s="4"/>
      <c r="BW1178" s="4"/>
      <c r="BX1178" s="4"/>
      <c r="BY1178" s="4"/>
      <c r="BZ1178" s="4"/>
      <c r="CA1178" s="4"/>
      <c r="CB1178" s="4"/>
      <c r="CC1178" s="4"/>
      <c r="CD1178" s="4"/>
      <c r="CE1178" s="4"/>
      <c r="CF1178" s="4"/>
      <c r="CG1178" s="4"/>
      <c r="CH1178" s="4"/>
      <c r="CI1178" s="4"/>
      <c r="CJ1178" s="4"/>
      <c r="CK1178" s="4"/>
      <c r="CL1178" s="4"/>
      <c r="CM1178" s="4"/>
      <c r="CN1178" s="4"/>
      <c r="CO1178" s="4"/>
      <c r="CP1178" s="4"/>
      <c r="CQ1178" s="4"/>
      <c r="CR1178" s="4"/>
      <c r="CS1178" s="4"/>
      <c r="CT1178" s="4"/>
      <c r="CU1178" s="4"/>
      <c r="CV1178" s="4"/>
      <c r="CW1178" s="4"/>
      <c r="CX1178" s="4"/>
      <c r="CY1178" s="4"/>
      <c r="CZ1178" s="4"/>
      <c r="DA1178" s="4"/>
      <c r="DB1178" s="4"/>
      <c r="DC1178" s="4"/>
      <c r="DD1178" s="4"/>
      <c r="DE1178" s="3"/>
      <c r="DF1178" s="3"/>
      <c r="DG1178" s="4"/>
      <c r="DH1178" s="4"/>
      <c r="DI1178" s="4"/>
      <c r="DJ1178" s="4"/>
      <c r="DK1178" s="4"/>
      <c r="DL1178" s="4"/>
      <c r="DM1178" s="4"/>
      <c r="DN1178" s="4"/>
      <c r="DO1178" s="4"/>
      <c r="DP1178" s="4"/>
      <c r="DQ1178" s="4"/>
      <c r="DR1178" s="4"/>
      <c r="DS1178" s="4"/>
      <c r="DT1178" s="4"/>
      <c r="DU1178" s="4"/>
      <c r="DV1178" s="4"/>
      <c r="DW1178" s="4"/>
      <c r="DX1178" s="4"/>
      <c r="DY1178" s="4"/>
      <c r="DZ1178" s="4"/>
      <c r="EA1178" s="4"/>
      <c r="EB1178" s="4"/>
      <c r="EC1178" s="4"/>
      <c r="ED1178" s="4"/>
      <c r="EE1178" s="4"/>
      <c r="EF1178" s="4"/>
      <c r="EG1178" s="4"/>
      <c r="EH1178" s="4"/>
      <c r="EI1178" s="4"/>
      <c r="EJ1178" s="4"/>
      <c r="EK1178" s="4"/>
      <c r="EL1178" s="4"/>
      <c r="EM1178" s="4"/>
      <c r="EN1178" s="4"/>
      <c r="EO1178" s="4"/>
      <c r="EP1178" s="4"/>
      <c r="EQ1178" s="4"/>
      <c r="ER1178" s="4"/>
    </row>
    <row r="1179" spans="1:150" hidden="1">
      <c r="A1179" s="11" t="s">
        <v>9940</v>
      </c>
      <c r="B1179" s="3" t="s">
        <v>8373</v>
      </c>
      <c r="C1179" s="3">
        <v>2006</v>
      </c>
      <c r="D1179" s="3" t="s">
        <v>6288</v>
      </c>
      <c r="E1179" s="3" t="s">
        <v>8448</v>
      </c>
      <c r="F1179" s="3">
        <v>1</v>
      </c>
      <c r="G1179" s="3"/>
      <c r="H1179" s="3" t="s">
        <v>6292</v>
      </c>
      <c r="I1179" s="3"/>
      <c r="J1179" s="3"/>
      <c r="K1179" s="3" t="s">
        <v>132</v>
      </c>
      <c r="L1179" s="4"/>
      <c r="M1179" s="3" t="s">
        <v>8382</v>
      </c>
      <c r="T1179" s="3" t="s">
        <v>6290</v>
      </c>
      <c r="V1179" s="3"/>
      <c r="W1179" s="4"/>
      <c r="X1179" s="5" t="s">
        <v>6293</v>
      </c>
      <c r="Y1179" s="5"/>
      <c r="Z1179" s="3">
        <v>1</v>
      </c>
      <c r="AA1179" s="4"/>
      <c r="AB1179" s="4"/>
      <c r="AE1179" s="3"/>
      <c r="AF1179" s="3"/>
      <c r="AG1179" s="4"/>
      <c r="AH1179" s="4"/>
      <c r="AI1179" s="4"/>
      <c r="AJ1179" s="4"/>
      <c r="AK1179" s="3"/>
      <c r="AL1179" s="3"/>
      <c r="AM1179" s="3"/>
      <c r="AN1179" s="3"/>
      <c r="AO1179" s="4"/>
      <c r="AP1179" s="3"/>
      <c r="AQ1179" s="4"/>
      <c r="AR1179" s="3"/>
      <c r="AS1179" s="3"/>
      <c r="AT1179" s="4"/>
      <c r="AU1179" s="3"/>
      <c r="AV1179" s="4"/>
      <c r="AW1179" s="4"/>
      <c r="AX1179" s="4"/>
      <c r="AY1179" s="4"/>
      <c r="AZ1179" s="4"/>
      <c r="BA1179" s="4"/>
      <c r="BB1179" s="4"/>
      <c r="BC1179" s="4"/>
      <c r="BD1179" s="4"/>
      <c r="BE1179" s="4"/>
      <c r="BF1179" s="3"/>
      <c r="BG1179" s="3"/>
      <c r="BH1179" s="3"/>
      <c r="BI1179" s="4"/>
      <c r="BJ1179" s="3"/>
      <c r="BK1179" s="4"/>
      <c r="BL1179" s="4"/>
      <c r="BM1179" s="3"/>
      <c r="BN1179" s="4"/>
      <c r="BO1179" s="4"/>
      <c r="BP1179" s="4"/>
      <c r="BQ1179" s="4"/>
      <c r="BR1179" s="4"/>
      <c r="BS1179" s="4"/>
      <c r="BT1179" s="4"/>
      <c r="BU1179" s="4"/>
      <c r="BV1179" s="4"/>
      <c r="BW1179" s="4"/>
      <c r="BX1179" s="4"/>
      <c r="BY1179" s="4"/>
      <c r="BZ1179" s="4"/>
      <c r="CA1179" s="4"/>
      <c r="CB1179" s="4"/>
      <c r="CC1179" s="4"/>
      <c r="CD1179" s="4"/>
      <c r="CE1179" s="4"/>
      <c r="CF1179" s="4"/>
      <c r="CG1179" s="4"/>
      <c r="CH1179" s="4"/>
      <c r="CI1179" s="4"/>
      <c r="CJ1179" s="4"/>
      <c r="CK1179" s="4"/>
      <c r="CL1179" s="4"/>
      <c r="CM1179" s="4"/>
      <c r="CN1179" s="4"/>
      <c r="CO1179" s="4"/>
      <c r="CP1179" s="4"/>
      <c r="CQ1179" s="4"/>
      <c r="CR1179" s="4"/>
      <c r="CS1179" s="4"/>
      <c r="CT1179" s="4"/>
      <c r="CU1179" s="4"/>
      <c r="CV1179" s="4"/>
      <c r="CW1179" s="4"/>
      <c r="CX1179" s="4"/>
      <c r="CY1179" s="4"/>
      <c r="CZ1179" s="4"/>
      <c r="DA1179" s="4"/>
      <c r="DB1179" s="4"/>
      <c r="DC1179" s="3"/>
      <c r="DD1179" s="3"/>
      <c r="DE1179" s="8"/>
      <c r="DF1179" s="4"/>
      <c r="DG1179" s="4"/>
      <c r="DH1179" s="4"/>
      <c r="DI1179" s="4"/>
      <c r="DJ1179" s="8"/>
      <c r="DK1179" s="8"/>
      <c r="DL1179" s="8"/>
      <c r="DM1179" s="8"/>
      <c r="DN1179" s="4"/>
      <c r="DO1179" s="4"/>
      <c r="DP1179" s="4"/>
      <c r="DQ1179" s="4"/>
      <c r="DR1179" s="8"/>
      <c r="DS1179" s="4"/>
      <c r="DT1179" s="4"/>
      <c r="DU1179" s="4"/>
      <c r="DV1179" s="4"/>
      <c r="DW1179" s="4"/>
      <c r="DX1179" s="4"/>
      <c r="DY1179" s="4"/>
      <c r="DZ1179" s="4"/>
      <c r="EA1179" s="4"/>
      <c r="EB1179" s="4"/>
      <c r="EC1179" s="4"/>
      <c r="ED1179" s="4"/>
      <c r="EE1179" s="4"/>
      <c r="EF1179" s="4"/>
      <c r="EG1179" s="4"/>
      <c r="EH1179" s="8"/>
      <c r="EI1179" s="8"/>
      <c r="EJ1179" s="8"/>
      <c r="EK1179" s="8"/>
      <c r="EL1179" s="8"/>
      <c r="EM1179" s="8"/>
      <c r="EN1179" s="4"/>
      <c r="EO1179" s="4"/>
      <c r="EP1179" s="4"/>
    </row>
    <row r="1180" spans="1:150" hidden="1">
      <c r="A1180" s="11" t="s">
        <v>9940</v>
      </c>
      <c r="B1180" s="3" t="s">
        <v>8373</v>
      </c>
      <c r="C1180" s="3">
        <v>2018</v>
      </c>
      <c r="D1180" s="3" t="s">
        <v>8449</v>
      </c>
      <c r="E1180" s="3" t="s">
        <v>8450</v>
      </c>
      <c r="F1180" s="3">
        <v>1</v>
      </c>
      <c r="G1180" s="3"/>
      <c r="H1180" s="3" t="s">
        <v>8451</v>
      </c>
      <c r="I1180" s="3"/>
      <c r="J1180" s="3"/>
      <c r="K1180" s="3" t="s">
        <v>252</v>
      </c>
      <c r="L1180" s="4"/>
      <c r="M1180" s="3" t="s">
        <v>8427</v>
      </c>
      <c r="T1180" s="3" t="s">
        <v>6848</v>
      </c>
      <c r="V1180" s="3"/>
      <c r="W1180" s="4"/>
      <c r="X1180" s="5" t="s">
        <v>6851</v>
      </c>
      <c r="Y1180" s="5"/>
      <c r="Z1180" s="3">
        <v>1</v>
      </c>
      <c r="AA1180" s="4"/>
      <c r="AB1180" s="4"/>
      <c r="AE1180" s="3"/>
      <c r="AF1180" s="3"/>
      <c r="AG1180" s="4"/>
      <c r="AH1180" s="4"/>
      <c r="AI1180" s="4"/>
      <c r="AJ1180" s="4"/>
      <c r="AK1180" s="3"/>
      <c r="AL1180" s="3"/>
      <c r="AM1180" s="3"/>
      <c r="AN1180" s="3"/>
      <c r="AO1180" s="4"/>
      <c r="AP1180" s="3"/>
      <c r="AQ1180" s="4"/>
      <c r="AR1180" s="3"/>
      <c r="AS1180" s="3"/>
      <c r="AT1180" s="4"/>
      <c r="AU1180" s="3"/>
      <c r="AV1180" s="4"/>
      <c r="AW1180" s="4"/>
      <c r="AX1180" s="4"/>
      <c r="AY1180" s="4"/>
      <c r="AZ1180" s="4"/>
      <c r="BA1180" s="4"/>
      <c r="BB1180" s="4"/>
      <c r="BC1180" s="4"/>
      <c r="BD1180" s="4"/>
      <c r="BE1180" s="4"/>
      <c r="BF1180" s="3"/>
      <c r="BG1180" s="3"/>
      <c r="BH1180" s="3"/>
      <c r="BI1180" s="4"/>
      <c r="BJ1180" s="3"/>
      <c r="BK1180" s="4"/>
      <c r="BL1180" s="4"/>
      <c r="BM1180" s="3"/>
      <c r="BN1180" s="4"/>
      <c r="BO1180" s="4"/>
      <c r="BP1180" s="4"/>
      <c r="BQ1180" s="4"/>
      <c r="BR1180" s="4"/>
      <c r="BS1180" s="4"/>
      <c r="BT1180" s="4"/>
      <c r="BU1180" s="4"/>
      <c r="BV1180" s="4"/>
      <c r="BW1180" s="4"/>
      <c r="BX1180" s="4"/>
      <c r="BY1180" s="4"/>
      <c r="BZ1180" s="4"/>
      <c r="CA1180" s="4"/>
      <c r="CB1180" s="4"/>
      <c r="CC1180" s="4"/>
      <c r="CD1180" s="4"/>
      <c r="CE1180" s="4"/>
      <c r="CF1180" s="4"/>
      <c r="CG1180" s="4"/>
      <c r="CH1180" s="4"/>
      <c r="CI1180" s="4"/>
      <c r="CJ1180" s="4"/>
      <c r="CK1180" s="4"/>
      <c r="CL1180" s="4"/>
      <c r="CM1180" s="4"/>
      <c r="CN1180" s="4"/>
      <c r="CO1180" s="4"/>
      <c r="CP1180" s="4"/>
      <c r="CQ1180" s="4"/>
      <c r="CR1180" s="4"/>
      <c r="CS1180" s="4"/>
      <c r="CT1180" s="4"/>
      <c r="CU1180" s="4"/>
      <c r="CV1180" s="4"/>
      <c r="CW1180" s="4"/>
      <c r="CX1180" s="4"/>
      <c r="CY1180" s="4"/>
      <c r="CZ1180" s="4"/>
      <c r="DA1180" s="4"/>
      <c r="DB1180" s="4"/>
      <c r="DC1180" s="4"/>
      <c r="DD1180" s="3"/>
      <c r="DE1180" s="3"/>
      <c r="DF1180" s="8"/>
      <c r="DG1180" s="4"/>
      <c r="DH1180" s="4"/>
      <c r="DI1180" s="4"/>
      <c r="DJ1180" s="4"/>
      <c r="DK1180" s="8"/>
      <c r="DL1180" s="8"/>
      <c r="DM1180" s="8"/>
      <c r="DN1180" s="8"/>
      <c r="DO1180" s="4"/>
      <c r="DP1180" s="4"/>
      <c r="DQ1180" s="4"/>
      <c r="DR1180" s="4"/>
      <c r="DS1180" s="4"/>
      <c r="DT1180" s="4"/>
      <c r="DU1180" s="4"/>
      <c r="DV1180" s="4"/>
      <c r="DW1180" s="4"/>
      <c r="DX1180" s="4"/>
      <c r="DY1180" s="4"/>
      <c r="DZ1180" s="4"/>
      <c r="EA1180" s="4"/>
      <c r="EB1180" s="4"/>
      <c r="EC1180" s="4"/>
      <c r="ED1180" s="4"/>
      <c r="EE1180" s="4"/>
      <c r="EF1180" s="4"/>
      <c r="EG1180" s="4"/>
      <c r="EH1180" s="4"/>
      <c r="EI1180" s="8"/>
      <c r="EJ1180" s="8"/>
      <c r="EK1180" s="8"/>
      <c r="EL1180" s="8"/>
      <c r="EM1180" s="8"/>
      <c r="EN1180" s="8"/>
      <c r="EO1180" s="4"/>
      <c r="EP1180" s="4"/>
      <c r="EQ1180" s="4"/>
    </row>
    <row r="1181" spans="1:150" hidden="1">
      <c r="A1181" s="11" t="s">
        <v>9940</v>
      </c>
      <c r="B1181" s="3" t="s">
        <v>8373</v>
      </c>
      <c r="C1181" s="3">
        <v>2018</v>
      </c>
      <c r="D1181" s="3" t="s">
        <v>9263</v>
      </c>
      <c r="E1181" s="3" t="s">
        <v>9264</v>
      </c>
      <c r="F1181" s="3">
        <v>0</v>
      </c>
      <c r="G1181" s="3" t="s">
        <v>9265</v>
      </c>
      <c r="H1181" s="3" t="s">
        <v>9268</v>
      </c>
      <c r="I1181" s="3"/>
      <c r="J1181" s="3"/>
      <c r="K1181" s="3" t="s">
        <v>40</v>
      </c>
      <c r="L1181" s="4"/>
      <c r="M1181" s="3" t="s">
        <v>8500</v>
      </c>
      <c r="T1181" s="3" t="s">
        <v>9266</v>
      </c>
      <c r="V1181" s="4"/>
      <c r="W1181" s="4"/>
      <c r="X1181" s="5" t="s">
        <v>9267</v>
      </c>
      <c r="Y1181" s="5"/>
      <c r="Z1181" s="4"/>
      <c r="AA1181" s="4"/>
      <c r="AB1181" s="4"/>
      <c r="AE1181" s="4"/>
      <c r="AF1181" s="4"/>
      <c r="AG1181" s="3"/>
      <c r="AH1181" s="3"/>
      <c r="AI1181" s="3"/>
      <c r="AJ1181" s="3"/>
      <c r="AK1181" s="4"/>
      <c r="AL1181" s="3"/>
      <c r="AM1181" s="4"/>
      <c r="AN1181" s="3"/>
      <c r="AO1181" s="3"/>
      <c r="AP1181" s="4"/>
      <c r="AQ1181" s="3"/>
      <c r="AR1181" s="4"/>
      <c r="AS1181" s="4"/>
      <c r="AT1181" s="4"/>
      <c r="AU1181" s="4"/>
      <c r="AV1181" s="4"/>
      <c r="AW1181" s="4"/>
      <c r="AX1181" s="4"/>
      <c r="AY1181" s="4"/>
      <c r="AZ1181" s="4"/>
      <c r="BA1181" s="4"/>
      <c r="BB1181" s="3"/>
      <c r="BC1181" s="3"/>
      <c r="BD1181" s="3"/>
      <c r="BE1181" s="4"/>
      <c r="BF1181" s="3"/>
      <c r="BG1181" s="4"/>
      <c r="BH1181" s="4"/>
      <c r="BI1181" s="4"/>
      <c r="BJ1181" s="3"/>
      <c r="BK1181" s="4"/>
      <c r="BL1181" s="4"/>
      <c r="BM1181" s="4"/>
      <c r="BN1181" s="4"/>
      <c r="BO1181" s="4"/>
      <c r="BP1181" s="4"/>
      <c r="BQ1181" s="4"/>
      <c r="BR1181" s="4"/>
      <c r="BS1181" s="4"/>
      <c r="BT1181" s="4"/>
      <c r="BU1181" s="4"/>
      <c r="BV1181" s="4"/>
      <c r="BW1181" s="4"/>
      <c r="BX1181" s="4"/>
      <c r="BY1181" s="4"/>
      <c r="BZ1181" s="4"/>
      <c r="CA1181" s="4"/>
      <c r="CB1181" s="4"/>
      <c r="CC1181" s="4"/>
      <c r="CD1181" s="4"/>
      <c r="CE1181" s="4"/>
      <c r="CF1181" s="4"/>
      <c r="CG1181" s="4"/>
      <c r="CH1181" s="4"/>
      <c r="CI1181" s="4"/>
      <c r="CJ1181" s="4"/>
      <c r="CK1181" s="4"/>
      <c r="CL1181" s="4"/>
      <c r="CM1181" s="4"/>
      <c r="CN1181" s="4"/>
      <c r="CO1181" s="4"/>
      <c r="CP1181" s="4"/>
      <c r="CQ1181" s="4"/>
      <c r="CR1181" s="4"/>
      <c r="CS1181" s="4"/>
      <c r="CT1181" s="4"/>
      <c r="CU1181" s="4"/>
      <c r="CV1181" s="4"/>
      <c r="CW1181" s="4"/>
      <c r="CX1181" s="4"/>
      <c r="CY1181" s="4"/>
      <c r="CZ1181" s="4"/>
      <c r="DA1181" s="4"/>
      <c r="DB1181" s="4"/>
      <c r="DC1181" s="3"/>
      <c r="DD1181" s="3"/>
      <c r="DE1181" s="4"/>
      <c r="DF1181" s="4"/>
      <c r="DG1181" s="4"/>
      <c r="DH1181" s="4"/>
      <c r="DI1181" s="4"/>
      <c r="DJ1181" s="4"/>
      <c r="DK1181" s="4"/>
      <c r="DL1181" s="4"/>
      <c r="DM1181" s="4"/>
      <c r="DN1181" s="4"/>
      <c r="DO1181" s="4"/>
      <c r="DP1181" s="4"/>
      <c r="DQ1181" s="4"/>
      <c r="DR1181" s="4"/>
      <c r="DS1181" s="4"/>
      <c r="DT1181" s="4"/>
      <c r="DU1181" s="4"/>
      <c r="DV1181" s="4"/>
      <c r="DW1181" s="4"/>
      <c r="DX1181" s="4"/>
      <c r="DY1181" s="4"/>
      <c r="DZ1181" s="4"/>
      <c r="EA1181" s="4"/>
      <c r="EB1181" s="4"/>
      <c r="EC1181" s="4"/>
      <c r="ED1181" s="4"/>
      <c r="EE1181" s="4"/>
      <c r="EF1181" s="4"/>
      <c r="EG1181" s="4"/>
      <c r="EH1181" s="4"/>
      <c r="EI1181" s="4"/>
      <c r="EJ1181" s="4"/>
      <c r="EK1181" s="4"/>
      <c r="EL1181" s="4"/>
      <c r="EM1181" s="4"/>
      <c r="EN1181" s="4"/>
      <c r="EO1181" s="4"/>
      <c r="EP1181" s="4"/>
    </row>
    <row r="1182" spans="1:150" hidden="1">
      <c r="A1182" s="11" t="s">
        <v>9940</v>
      </c>
      <c r="B1182" s="3" t="s">
        <v>8373</v>
      </c>
      <c r="C1182" s="3">
        <v>2002</v>
      </c>
      <c r="D1182" s="3" t="s">
        <v>8452</v>
      </c>
      <c r="E1182" s="3" t="s">
        <v>8453</v>
      </c>
      <c r="F1182" s="3">
        <v>1</v>
      </c>
      <c r="G1182" s="3"/>
      <c r="H1182" s="3" t="s">
        <v>8457</v>
      </c>
      <c r="I1182" s="3"/>
      <c r="J1182" s="3"/>
      <c r="K1182" s="3" t="s">
        <v>810</v>
      </c>
      <c r="L1182" s="4"/>
      <c r="M1182" s="3" t="s">
        <v>8454</v>
      </c>
      <c r="T1182" s="3" t="s">
        <v>8455</v>
      </c>
      <c r="V1182" s="3"/>
      <c r="W1182" s="4"/>
      <c r="X1182" s="5" t="s">
        <v>8456</v>
      </c>
      <c r="Y1182" s="5"/>
      <c r="Z1182" s="3">
        <v>1</v>
      </c>
      <c r="AA1182" s="4"/>
      <c r="AB1182" s="3"/>
      <c r="AE1182" s="3"/>
      <c r="AF1182" s="3"/>
      <c r="AG1182" s="4"/>
      <c r="AH1182" s="4"/>
      <c r="AI1182" s="4"/>
      <c r="AJ1182" s="4"/>
      <c r="AK1182" s="3"/>
      <c r="AL1182" s="3"/>
      <c r="AM1182" s="3"/>
      <c r="AN1182" s="3"/>
      <c r="AO1182" s="4"/>
      <c r="AP1182" s="3"/>
      <c r="AQ1182" s="4"/>
      <c r="AR1182" s="3"/>
      <c r="AS1182" s="3"/>
      <c r="AT1182" s="4"/>
      <c r="AU1182" s="3"/>
      <c r="AV1182" s="4"/>
      <c r="AW1182" s="4"/>
      <c r="AX1182" s="4"/>
      <c r="AY1182" s="4"/>
      <c r="AZ1182" s="4"/>
      <c r="BA1182" s="4"/>
      <c r="BB1182" s="4"/>
      <c r="BC1182" s="4"/>
      <c r="BD1182" s="4"/>
      <c r="BE1182" s="4"/>
      <c r="BF1182" s="3"/>
      <c r="BG1182" s="3"/>
      <c r="BH1182" s="3"/>
      <c r="BI1182" s="4"/>
      <c r="BJ1182" s="3"/>
      <c r="BK1182" s="4"/>
      <c r="BL1182" s="4"/>
      <c r="BM1182" s="3"/>
      <c r="BN1182" s="4"/>
      <c r="BO1182" s="4"/>
      <c r="BP1182" s="4"/>
      <c r="BQ1182" s="4"/>
      <c r="BR1182" s="4"/>
      <c r="BS1182" s="4"/>
      <c r="BT1182" s="4"/>
      <c r="BU1182" s="4"/>
      <c r="BV1182" s="4"/>
      <c r="BW1182" s="4"/>
      <c r="BX1182" s="4"/>
      <c r="BY1182" s="4"/>
      <c r="BZ1182" s="4"/>
      <c r="CA1182" s="4"/>
      <c r="CB1182" s="4"/>
      <c r="CC1182" s="4"/>
      <c r="CD1182" s="4"/>
      <c r="CE1182" s="4"/>
      <c r="CF1182" s="4"/>
      <c r="CG1182" s="4"/>
      <c r="CH1182" s="4"/>
      <c r="CI1182" s="4"/>
      <c r="CJ1182" s="4"/>
      <c r="CK1182" s="4"/>
      <c r="CL1182" s="4"/>
      <c r="CM1182" s="4"/>
      <c r="CN1182" s="4"/>
      <c r="CO1182" s="4"/>
      <c r="CP1182" s="4"/>
      <c r="CQ1182" s="4"/>
      <c r="CR1182" s="4"/>
      <c r="CS1182" s="4"/>
      <c r="CT1182" s="4"/>
      <c r="CU1182" s="4"/>
      <c r="CV1182" s="4"/>
      <c r="CW1182" s="4"/>
      <c r="CX1182" s="4"/>
      <c r="CY1182" s="3"/>
      <c r="CZ1182" s="3"/>
      <c r="DA1182" s="8"/>
      <c r="DB1182" s="4"/>
      <c r="DC1182" s="4"/>
      <c r="DD1182" s="4"/>
      <c r="DE1182" s="4"/>
      <c r="DF1182" s="8"/>
      <c r="DG1182" s="8"/>
      <c r="DH1182" s="8"/>
      <c r="DI1182" s="8"/>
      <c r="DJ1182" s="4"/>
      <c r="DK1182" s="4"/>
      <c r="DL1182" s="4"/>
      <c r="DM1182" s="4"/>
      <c r="DN1182" s="4"/>
      <c r="DO1182" s="4"/>
      <c r="DP1182" s="4"/>
      <c r="DQ1182" s="4"/>
      <c r="DR1182" s="4"/>
      <c r="DS1182" s="4"/>
      <c r="DT1182" s="4"/>
      <c r="DU1182" s="4"/>
      <c r="DV1182" s="4"/>
      <c r="DW1182" s="4"/>
      <c r="DX1182" s="4"/>
      <c r="DY1182" s="4"/>
      <c r="DZ1182" s="4"/>
      <c r="EA1182" s="4"/>
      <c r="EB1182" s="4"/>
      <c r="EC1182" s="4"/>
      <c r="ED1182" s="8"/>
      <c r="EE1182" s="8"/>
      <c r="EF1182" s="8"/>
      <c r="EG1182" s="8"/>
      <c r="EH1182" s="8"/>
      <c r="EI1182" s="8"/>
      <c r="EJ1182" s="4"/>
      <c r="EK1182" s="4"/>
      <c r="EL1182" s="4"/>
    </row>
    <row r="1183" spans="1:150" hidden="1">
      <c r="A1183" s="11" t="s">
        <v>9940</v>
      </c>
      <c r="B1183" s="3" t="s">
        <v>8379</v>
      </c>
      <c r="C1183" s="3">
        <v>2019</v>
      </c>
      <c r="D1183" s="3" t="s">
        <v>8458</v>
      </c>
      <c r="E1183" s="3" t="s">
        <v>8459</v>
      </c>
      <c r="F1183" s="3">
        <v>1</v>
      </c>
      <c r="G1183" s="4"/>
      <c r="H1183" s="3" t="s">
        <v>8461</v>
      </c>
      <c r="I1183" s="3"/>
      <c r="J1183" s="3"/>
      <c r="K1183" s="4"/>
      <c r="L1183" s="4"/>
      <c r="M1183" s="4"/>
      <c r="T1183" s="4"/>
      <c r="V1183" s="3"/>
      <c r="W1183" s="4"/>
      <c r="X1183" s="5" t="s">
        <v>8460</v>
      </c>
      <c r="Y1183" s="5"/>
      <c r="Z1183" s="3">
        <v>1</v>
      </c>
      <c r="AA1183" s="4"/>
      <c r="AB1183" s="4"/>
      <c r="AE1183" s="3"/>
      <c r="AF1183" s="3"/>
      <c r="AG1183" s="3"/>
      <c r="AH1183" s="4"/>
      <c r="AI1183" s="4"/>
      <c r="AJ1183" s="4"/>
      <c r="AK1183" s="3"/>
      <c r="AL1183" s="3"/>
      <c r="AM1183" s="3"/>
      <c r="AN1183" s="3"/>
      <c r="AO1183" s="4"/>
      <c r="AP1183" s="4"/>
      <c r="AQ1183" s="4"/>
      <c r="AR1183" s="4"/>
      <c r="AS1183" s="4"/>
      <c r="AT1183" s="4"/>
      <c r="AU1183" s="4"/>
      <c r="AV1183" s="4"/>
      <c r="AW1183" s="4"/>
      <c r="AX1183" s="4"/>
      <c r="AY1183" s="4"/>
      <c r="AZ1183" s="4"/>
      <c r="BA1183" s="3"/>
      <c r="BB1183" s="4"/>
      <c r="BC1183" s="3"/>
      <c r="BD1183" s="3"/>
      <c r="BE1183" s="3"/>
      <c r="BF1183" s="4"/>
      <c r="BG1183" s="3"/>
      <c r="BH1183" s="3"/>
      <c r="BI1183" s="4"/>
      <c r="BJ1183" s="4"/>
      <c r="BK1183" s="4"/>
      <c r="BL1183" s="4"/>
      <c r="BM1183" s="4"/>
      <c r="BN1183" s="4"/>
      <c r="BO1183" s="4"/>
      <c r="BP1183" s="4"/>
      <c r="BQ1183" s="4"/>
      <c r="BR1183" s="4"/>
      <c r="BS1183" s="4"/>
      <c r="BT1183" s="4"/>
      <c r="BU1183" s="4"/>
      <c r="BV1183" s="4"/>
      <c r="BW1183" s="4"/>
      <c r="BX1183" s="4"/>
      <c r="BY1183" s="4"/>
      <c r="BZ1183" s="4"/>
      <c r="CA1183" s="4"/>
      <c r="CB1183" s="4"/>
      <c r="CC1183" s="4"/>
      <c r="CD1183" s="4"/>
      <c r="CE1183" s="4"/>
      <c r="CF1183" s="4"/>
      <c r="CG1183" s="4"/>
      <c r="CH1183" s="4"/>
      <c r="CI1183" s="4"/>
      <c r="CJ1183" s="4"/>
      <c r="CK1183" s="4"/>
      <c r="CL1183" s="4"/>
      <c r="CM1183" s="4"/>
      <c r="CN1183" s="4"/>
      <c r="CO1183" s="4"/>
      <c r="CP1183" s="4"/>
      <c r="CQ1183" s="4"/>
      <c r="CR1183" s="4"/>
      <c r="CS1183" s="4"/>
      <c r="CT1183" s="4"/>
      <c r="CU1183" s="4"/>
      <c r="CV1183" s="4"/>
      <c r="CW1183" s="4"/>
      <c r="CX1183" s="4"/>
      <c r="CY1183" s="4"/>
      <c r="CZ1183" s="4"/>
      <c r="DA1183" s="4"/>
      <c r="DB1183" s="4"/>
      <c r="DC1183" s="3"/>
      <c r="DD1183" s="3"/>
      <c r="DE1183" s="8"/>
      <c r="DF1183" s="4"/>
      <c r="DG1183" s="4"/>
      <c r="DH1183" s="4"/>
      <c r="DI1183" s="4"/>
      <c r="DJ1183" s="8"/>
      <c r="DK1183" s="8"/>
      <c r="DL1183" s="8"/>
      <c r="DM1183" s="8"/>
      <c r="DN1183" s="4"/>
      <c r="DO1183" s="4"/>
      <c r="DP1183" s="4"/>
      <c r="DQ1183" s="4"/>
      <c r="DR1183" s="4"/>
      <c r="DS1183" s="4"/>
      <c r="DT1183" s="4"/>
      <c r="DU1183" s="4"/>
      <c r="DV1183" s="4"/>
      <c r="DW1183" s="4"/>
      <c r="DX1183" s="4"/>
      <c r="DY1183" s="4"/>
      <c r="DZ1183" s="4"/>
      <c r="EA1183" s="4"/>
      <c r="EB1183" s="4"/>
      <c r="EC1183" s="4"/>
      <c r="ED1183" s="4"/>
      <c r="EE1183" s="4"/>
      <c r="EF1183" s="4"/>
      <c r="EG1183" s="4"/>
      <c r="EH1183" s="8"/>
      <c r="EI1183" s="8"/>
      <c r="EJ1183" s="8"/>
      <c r="EK1183" s="8"/>
      <c r="EL1183" s="8"/>
      <c r="EM1183" s="8"/>
      <c r="EN1183" s="4"/>
      <c r="EO1183" s="4"/>
      <c r="EP1183" s="4"/>
    </row>
    <row r="1184" spans="1:150" hidden="1">
      <c r="A1184" s="11" t="s">
        <v>9940</v>
      </c>
      <c r="B1184" s="3" t="s">
        <v>8373</v>
      </c>
      <c r="C1184" s="3">
        <v>2018</v>
      </c>
      <c r="D1184" s="3" t="s">
        <v>8462</v>
      </c>
      <c r="E1184" s="3" t="s">
        <v>8463</v>
      </c>
      <c r="F1184" s="3">
        <v>1</v>
      </c>
      <c r="G1184" s="3"/>
      <c r="H1184" s="3" t="s">
        <v>8468</v>
      </c>
      <c r="I1184" s="3"/>
      <c r="J1184" s="3"/>
      <c r="K1184" s="3" t="s">
        <v>8464</v>
      </c>
      <c r="L1184" s="4"/>
      <c r="M1184" s="3" t="s">
        <v>8465</v>
      </c>
      <c r="T1184" s="3" t="s">
        <v>8466</v>
      </c>
      <c r="V1184" s="3"/>
      <c r="W1184" s="4"/>
      <c r="X1184" s="5" t="s">
        <v>8467</v>
      </c>
      <c r="Y1184" s="5"/>
      <c r="Z1184" s="3">
        <v>1</v>
      </c>
      <c r="AA1184" s="4"/>
      <c r="AB1184" s="4"/>
      <c r="AE1184" s="3"/>
      <c r="AF1184" s="3"/>
      <c r="AG1184" s="4"/>
      <c r="AH1184" s="4"/>
      <c r="AI1184" s="4"/>
      <c r="AJ1184" s="4"/>
      <c r="AK1184" s="3"/>
      <c r="AL1184" s="3"/>
      <c r="AM1184" s="3"/>
      <c r="AN1184" s="3"/>
      <c r="AO1184" s="4"/>
      <c r="AP1184" s="3"/>
      <c r="AQ1184" s="4"/>
      <c r="AR1184" s="3"/>
      <c r="AS1184" s="3"/>
      <c r="AT1184" s="4"/>
      <c r="AU1184" s="3"/>
      <c r="AV1184" s="4"/>
      <c r="AW1184" s="4"/>
      <c r="AX1184" s="4"/>
      <c r="AY1184" s="4"/>
      <c r="AZ1184" s="4"/>
      <c r="BA1184" s="4"/>
      <c r="BB1184" s="4"/>
      <c r="BC1184" s="4"/>
      <c r="BD1184" s="4"/>
      <c r="BE1184" s="4"/>
      <c r="BF1184" s="3"/>
      <c r="BG1184" s="3"/>
      <c r="BH1184" s="3"/>
      <c r="BI1184" s="4"/>
      <c r="BJ1184" s="3"/>
      <c r="BK1184" s="4"/>
      <c r="BL1184" s="4"/>
      <c r="BM1184" s="3"/>
      <c r="BN1184" s="4"/>
      <c r="BO1184" s="4"/>
      <c r="BP1184" s="4"/>
      <c r="BQ1184" s="4"/>
      <c r="BR1184" s="4"/>
      <c r="BS1184" s="4"/>
      <c r="BT1184" s="4"/>
      <c r="BU1184" s="4"/>
      <c r="BV1184" s="4"/>
      <c r="BW1184" s="4"/>
      <c r="BX1184" s="4"/>
      <c r="BY1184" s="4"/>
      <c r="BZ1184" s="4"/>
      <c r="CA1184" s="4"/>
      <c r="CB1184" s="4"/>
      <c r="CC1184" s="4"/>
      <c r="CD1184" s="4"/>
      <c r="CE1184" s="4"/>
      <c r="CF1184" s="4"/>
      <c r="CG1184" s="4"/>
      <c r="CH1184" s="4"/>
      <c r="CI1184" s="4"/>
      <c r="CJ1184" s="4"/>
      <c r="CK1184" s="4"/>
      <c r="CL1184" s="4"/>
      <c r="CM1184" s="4"/>
      <c r="CN1184" s="4"/>
      <c r="CO1184" s="4"/>
      <c r="CP1184" s="4"/>
      <c r="CQ1184" s="4"/>
      <c r="CR1184" s="4"/>
      <c r="CS1184" s="4"/>
      <c r="CT1184" s="4"/>
      <c r="CU1184" s="4"/>
      <c r="CV1184" s="4"/>
      <c r="CW1184" s="4"/>
      <c r="CX1184" s="4"/>
      <c r="CY1184" s="4"/>
      <c r="CZ1184" s="4"/>
      <c r="DA1184" s="4"/>
      <c r="DB1184" s="4"/>
      <c r="DC1184" s="4"/>
      <c r="DD1184" s="4"/>
      <c r="DE1184" s="4"/>
      <c r="DF1184" s="4"/>
      <c r="DG1184" s="3"/>
      <c r="DH1184" s="3"/>
      <c r="DI1184" s="8"/>
      <c r="DJ1184" s="4"/>
      <c r="DK1184" s="4"/>
      <c r="DL1184" s="4"/>
      <c r="DM1184" s="4"/>
      <c r="DN1184" s="8"/>
      <c r="DO1184" s="8"/>
      <c r="DP1184" s="8"/>
      <c r="DQ1184" s="8"/>
      <c r="DR1184" s="4"/>
      <c r="DS1184" s="4"/>
      <c r="DT1184" s="4"/>
      <c r="DU1184" s="4"/>
      <c r="DV1184" s="4"/>
      <c r="DW1184" s="4"/>
      <c r="DX1184" s="4"/>
      <c r="DY1184" s="4"/>
      <c r="DZ1184" s="4"/>
      <c r="EA1184" s="4"/>
      <c r="EB1184" s="4"/>
      <c r="EC1184" s="4"/>
      <c r="ED1184" s="4"/>
      <c r="EE1184" s="4"/>
      <c r="EF1184" s="4"/>
      <c r="EG1184" s="4"/>
      <c r="EH1184" s="4"/>
      <c r="EI1184" s="4"/>
      <c r="EJ1184" s="4"/>
      <c r="EK1184" s="4"/>
      <c r="EL1184" s="8"/>
      <c r="EM1184" s="8"/>
      <c r="EN1184" s="8"/>
      <c r="EO1184" s="8"/>
      <c r="EP1184" s="8"/>
      <c r="EQ1184" s="8"/>
      <c r="ER1184" s="4"/>
      <c r="ES1184" s="4"/>
      <c r="ET1184" s="4"/>
    </row>
    <row r="1185" spans="1:151" hidden="1">
      <c r="A1185" s="11" t="s">
        <v>9940</v>
      </c>
      <c r="B1185" s="3" t="s">
        <v>8373</v>
      </c>
      <c r="C1185" s="3">
        <v>2018</v>
      </c>
      <c r="D1185" s="3" t="s">
        <v>8469</v>
      </c>
      <c r="E1185" s="3" t="s">
        <v>8470</v>
      </c>
      <c r="F1185" s="3">
        <v>1</v>
      </c>
      <c r="G1185" s="3"/>
      <c r="H1185" s="3" t="s">
        <v>8475</v>
      </c>
      <c r="I1185" s="3"/>
      <c r="J1185" s="3"/>
      <c r="K1185" s="3" t="s">
        <v>8471</v>
      </c>
      <c r="L1185" s="4"/>
      <c r="M1185" s="3" t="s">
        <v>8472</v>
      </c>
      <c r="T1185" s="3" t="s">
        <v>8473</v>
      </c>
      <c r="V1185" s="3"/>
      <c r="W1185" s="4"/>
      <c r="X1185" s="5" t="s">
        <v>8474</v>
      </c>
      <c r="Y1185" s="5"/>
      <c r="Z1185" s="3">
        <v>1</v>
      </c>
      <c r="AA1185" s="4"/>
      <c r="AB1185" s="4"/>
      <c r="AE1185" s="3"/>
      <c r="AF1185" s="3"/>
      <c r="AG1185" s="4"/>
      <c r="AH1185" s="4"/>
      <c r="AI1185" s="4"/>
      <c r="AJ1185" s="4"/>
      <c r="AK1185" s="3"/>
      <c r="AL1185" s="3"/>
      <c r="AM1185" s="3"/>
      <c r="AN1185" s="3"/>
      <c r="AO1185" s="4"/>
      <c r="AP1185" s="3"/>
      <c r="AQ1185" s="4"/>
      <c r="AR1185" s="3"/>
      <c r="AS1185" s="3"/>
      <c r="AT1185" s="4"/>
      <c r="AU1185" s="3"/>
      <c r="AV1185" s="4"/>
      <c r="AW1185" s="4"/>
      <c r="AX1185" s="4"/>
      <c r="AY1185" s="4"/>
      <c r="AZ1185" s="4"/>
      <c r="BA1185" s="4"/>
      <c r="BB1185" s="4"/>
      <c r="BC1185" s="4"/>
      <c r="BD1185" s="4"/>
      <c r="BE1185" s="4"/>
      <c r="BF1185" s="3"/>
      <c r="BG1185" s="3"/>
      <c r="BH1185" s="3"/>
      <c r="BI1185" s="4"/>
      <c r="BJ1185" s="3"/>
      <c r="BK1185" s="4"/>
      <c r="BL1185" s="4"/>
      <c r="BM1185" s="3"/>
      <c r="BN1185" s="4"/>
      <c r="BO1185" s="4"/>
      <c r="BP1185" s="4"/>
      <c r="BQ1185" s="4"/>
      <c r="BR1185" s="4"/>
      <c r="BS1185" s="4"/>
      <c r="BT1185" s="4"/>
      <c r="BU1185" s="4"/>
      <c r="BV1185" s="4"/>
      <c r="BW1185" s="4"/>
      <c r="BX1185" s="4"/>
      <c r="BY1185" s="4"/>
      <c r="BZ1185" s="4"/>
      <c r="CA1185" s="4"/>
      <c r="CB1185" s="4"/>
      <c r="CC1185" s="4"/>
      <c r="CD1185" s="4"/>
      <c r="CE1185" s="4"/>
      <c r="CF1185" s="4"/>
      <c r="CG1185" s="4"/>
      <c r="CH1185" s="4"/>
      <c r="CI1185" s="4"/>
      <c r="CJ1185" s="4"/>
      <c r="CK1185" s="4"/>
      <c r="CL1185" s="4"/>
      <c r="CM1185" s="4"/>
      <c r="CN1185" s="4"/>
      <c r="CO1185" s="3"/>
      <c r="CP1185" s="3"/>
      <c r="CQ1185" s="8"/>
      <c r="CR1185" s="4"/>
      <c r="CS1185" s="4"/>
      <c r="CT1185" s="4"/>
      <c r="CU1185" s="4"/>
      <c r="CV1185" s="8"/>
      <c r="CW1185" s="8"/>
      <c r="CX1185" s="8"/>
      <c r="CY1185" s="8"/>
      <c r="CZ1185" s="4"/>
      <c r="DA1185" s="4"/>
      <c r="DB1185" s="4"/>
      <c r="DC1185" s="4"/>
      <c r="DD1185" s="4"/>
      <c r="DE1185" s="4"/>
      <c r="DF1185" s="4"/>
      <c r="DG1185" s="4"/>
      <c r="DH1185" s="4"/>
      <c r="DI1185" s="4"/>
      <c r="DJ1185" s="4"/>
      <c r="DK1185" s="4"/>
      <c r="DL1185" s="4"/>
      <c r="DM1185" s="4"/>
      <c r="DN1185" s="4"/>
      <c r="DO1185" s="4"/>
      <c r="DP1185" s="4"/>
      <c r="DQ1185" s="4"/>
      <c r="DR1185" s="4"/>
      <c r="DS1185" s="4"/>
      <c r="DT1185" s="8"/>
      <c r="DU1185" s="8"/>
      <c r="DV1185" s="8"/>
      <c r="DW1185" s="8"/>
      <c r="DX1185" s="8"/>
      <c r="DY1185" s="8"/>
      <c r="DZ1185" s="4"/>
      <c r="EA1185" s="4"/>
      <c r="EB1185" s="4"/>
    </row>
    <row r="1186" spans="1:151" hidden="1">
      <c r="A1186" s="11" t="s">
        <v>9940</v>
      </c>
      <c r="B1186" s="3" t="s">
        <v>8373</v>
      </c>
      <c r="C1186" s="3">
        <v>2018</v>
      </c>
      <c r="D1186" s="3" t="s">
        <v>969</v>
      </c>
      <c r="E1186" s="3" t="s">
        <v>8476</v>
      </c>
      <c r="F1186" s="3">
        <v>1</v>
      </c>
      <c r="G1186" s="3"/>
      <c r="H1186" s="3" t="s">
        <v>8477</v>
      </c>
      <c r="I1186" s="3"/>
      <c r="J1186" s="3"/>
      <c r="K1186" s="3" t="s">
        <v>970</v>
      </c>
      <c r="L1186" s="4"/>
      <c r="M1186" s="3" t="s">
        <v>8411</v>
      </c>
      <c r="T1186" s="3" t="s">
        <v>972</v>
      </c>
      <c r="V1186" s="3"/>
      <c r="W1186" s="4"/>
      <c r="X1186" s="5" t="s">
        <v>975</v>
      </c>
      <c r="Y1186" s="5"/>
      <c r="Z1186" s="3">
        <v>1</v>
      </c>
      <c r="AA1186" s="4"/>
      <c r="AB1186" s="4"/>
      <c r="AE1186" s="3"/>
      <c r="AF1186" s="3"/>
      <c r="AG1186" s="4"/>
      <c r="AH1186" s="4"/>
      <c r="AI1186" s="4"/>
      <c r="AJ1186" s="4"/>
      <c r="AK1186" s="3"/>
      <c r="AL1186" s="3"/>
      <c r="AM1186" s="3"/>
      <c r="AN1186" s="3"/>
      <c r="AO1186" s="4"/>
      <c r="AP1186" s="3"/>
      <c r="AQ1186" s="4"/>
      <c r="AR1186" s="3"/>
      <c r="AS1186" s="3"/>
      <c r="AT1186" s="4"/>
      <c r="AU1186" s="3"/>
      <c r="AV1186" s="4"/>
      <c r="AW1186" s="4"/>
      <c r="AX1186" s="4"/>
      <c r="AY1186" s="4"/>
      <c r="AZ1186" s="4"/>
      <c r="BA1186" s="4"/>
      <c r="BB1186" s="4"/>
      <c r="BC1186" s="4"/>
      <c r="BD1186" s="4"/>
      <c r="BE1186" s="4"/>
      <c r="BF1186" s="3"/>
      <c r="BG1186" s="3"/>
      <c r="BH1186" s="3"/>
      <c r="BI1186" s="4"/>
      <c r="BJ1186" s="3"/>
      <c r="BK1186" s="4"/>
      <c r="BL1186" s="3"/>
      <c r="BM1186" s="4"/>
      <c r="BN1186" s="4"/>
      <c r="BO1186" s="4"/>
      <c r="BP1186" s="4"/>
      <c r="BQ1186" s="4"/>
      <c r="BR1186" s="4"/>
      <c r="BS1186" s="4"/>
      <c r="BT1186" s="4"/>
      <c r="BU1186" s="4"/>
      <c r="BV1186" s="4"/>
      <c r="BW1186" s="4"/>
      <c r="BX1186" s="4"/>
      <c r="BY1186" s="4"/>
      <c r="BZ1186" s="4"/>
      <c r="CA1186" s="4"/>
      <c r="CB1186" s="4"/>
      <c r="CC1186" s="4"/>
      <c r="CD1186" s="4"/>
      <c r="CE1186" s="4"/>
      <c r="CF1186" s="4"/>
      <c r="CG1186" s="4"/>
      <c r="CH1186" s="4"/>
      <c r="CI1186" s="4"/>
      <c r="CJ1186" s="4"/>
      <c r="CK1186" s="4"/>
      <c r="CL1186" s="4"/>
      <c r="CM1186" s="4"/>
      <c r="CN1186" s="4"/>
      <c r="CO1186" s="4"/>
      <c r="CP1186" s="4"/>
      <c r="CQ1186" s="4"/>
      <c r="CR1186" s="4"/>
      <c r="CS1186" s="4"/>
      <c r="CT1186" s="4"/>
      <c r="CU1186" s="4"/>
      <c r="CV1186" s="4"/>
      <c r="CW1186" s="4"/>
      <c r="CX1186" s="4"/>
      <c r="CY1186" s="4"/>
      <c r="CZ1186" s="4"/>
      <c r="DA1186" s="4"/>
      <c r="DB1186" s="3"/>
      <c r="DC1186" s="3"/>
      <c r="DD1186" s="8"/>
      <c r="DE1186" s="4"/>
      <c r="DF1186" s="4"/>
      <c r="DG1186" s="4"/>
      <c r="DH1186" s="4"/>
      <c r="DI1186" s="8"/>
      <c r="DJ1186" s="8"/>
      <c r="DK1186" s="8"/>
      <c r="DL1186" s="8"/>
      <c r="DM1186" s="4"/>
      <c r="DN1186" s="4"/>
      <c r="DO1186" s="4"/>
      <c r="DP1186" s="4"/>
      <c r="DQ1186" s="4"/>
      <c r="DR1186" s="4"/>
      <c r="DS1186" s="4"/>
      <c r="DT1186" s="4"/>
      <c r="DU1186" s="4"/>
      <c r="DV1186" s="4"/>
      <c r="DW1186" s="4"/>
      <c r="DX1186" s="4"/>
      <c r="DY1186" s="4"/>
      <c r="DZ1186" s="4"/>
      <c r="EA1186" s="4"/>
      <c r="EB1186" s="4"/>
      <c r="EC1186" s="4"/>
      <c r="ED1186" s="4"/>
      <c r="EE1186" s="4"/>
      <c r="EF1186" s="4"/>
      <c r="EG1186" s="8"/>
      <c r="EH1186" s="8"/>
      <c r="EI1186" s="8"/>
      <c r="EJ1186" s="8"/>
      <c r="EK1186" s="8"/>
      <c r="EL1186" s="8"/>
      <c r="EM1186" s="4"/>
      <c r="EN1186" s="4"/>
      <c r="EO1186" s="4"/>
    </row>
    <row r="1187" spans="1:151" hidden="1">
      <c r="A1187" s="11" t="s">
        <v>9940</v>
      </c>
      <c r="B1187" s="3" t="s">
        <v>8386</v>
      </c>
      <c r="C1187" s="3">
        <v>2000</v>
      </c>
      <c r="D1187" s="3" t="s">
        <v>8478</v>
      </c>
      <c r="E1187" s="3" t="s">
        <v>8479</v>
      </c>
      <c r="F1187" s="3">
        <v>1</v>
      </c>
      <c r="G1187" s="3"/>
      <c r="H1187" s="3" t="s">
        <v>8483</v>
      </c>
      <c r="I1187" s="3"/>
      <c r="J1187" s="3"/>
      <c r="K1187" s="3" t="s">
        <v>8480</v>
      </c>
      <c r="L1187" s="3" t="s">
        <v>8481</v>
      </c>
      <c r="M1187" s="4"/>
      <c r="T1187" s="4"/>
      <c r="V1187" s="3"/>
      <c r="W1187" s="4"/>
      <c r="X1187" s="5" t="s">
        <v>8482</v>
      </c>
      <c r="Y1187" s="5"/>
      <c r="Z1187" s="3">
        <v>1</v>
      </c>
      <c r="AA1187" s="4"/>
      <c r="AB1187" s="4"/>
      <c r="AE1187" s="3"/>
      <c r="AF1187" s="3"/>
      <c r="AG1187" s="4"/>
      <c r="AH1187" s="3"/>
      <c r="AI1187" s="4"/>
      <c r="AJ1187" s="4"/>
      <c r="AK1187" s="3"/>
      <c r="AL1187" s="3"/>
      <c r="AM1187" s="3"/>
      <c r="AN1187" s="3"/>
      <c r="AO1187" s="4"/>
      <c r="AP1187" s="3"/>
      <c r="AQ1187" s="4"/>
      <c r="AR1187" s="4"/>
      <c r="AS1187" s="4"/>
      <c r="AT1187" s="4"/>
      <c r="AU1187" s="4"/>
      <c r="AV1187" s="4"/>
      <c r="AW1187" s="4"/>
      <c r="AX1187" s="4"/>
      <c r="AY1187" s="4"/>
      <c r="AZ1187" s="4"/>
      <c r="BA1187" s="3"/>
      <c r="BB1187" s="3"/>
      <c r="BC1187" s="4"/>
      <c r="BD1187" s="4"/>
      <c r="BE1187" s="4"/>
      <c r="BF1187" s="3"/>
      <c r="BG1187" s="3"/>
      <c r="BH1187" s="3"/>
      <c r="BI1187" s="4"/>
      <c r="BJ1187" s="4"/>
      <c r="BK1187" s="4"/>
      <c r="BL1187" s="4"/>
      <c r="BM1187" s="4"/>
      <c r="BN1187" s="3"/>
      <c r="BO1187" s="3"/>
      <c r="BP1187" s="4"/>
      <c r="BQ1187" s="4"/>
      <c r="BR1187" s="4"/>
      <c r="BS1187" s="4"/>
      <c r="BT1187" s="4"/>
      <c r="BU1187" s="4"/>
      <c r="BV1187" s="4"/>
      <c r="BW1187" s="4"/>
      <c r="BX1187" s="4"/>
      <c r="BY1187" s="4"/>
      <c r="BZ1187" s="4"/>
      <c r="CA1187" s="4"/>
      <c r="CB1187" s="4"/>
      <c r="CC1187" s="4"/>
      <c r="CD1187" s="4"/>
      <c r="CE1187" s="4"/>
      <c r="CF1187" s="4"/>
      <c r="CG1187" s="4"/>
      <c r="CH1187" s="4"/>
      <c r="CI1187" s="4"/>
      <c r="CJ1187" s="4"/>
      <c r="CK1187" s="4"/>
      <c r="CL1187" s="4"/>
      <c r="CM1187" s="4"/>
      <c r="CN1187" s="4"/>
      <c r="CO1187" s="4"/>
      <c r="CP1187" s="4"/>
      <c r="CQ1187" s="4"/>
      <c r="CR1187" s="4"/>
      <c r="CS1187" s="4"/>
      <c r="CT1187" s="4"/>
      <c r="CU1187" s="4"/>
      <c r="CV1187" s="4"/>
      <c r="CW1187" s="4"/>
      <c r="CX1187" s="4"/>
      <c r="CY1187" s="4"/>
      <c r="CZ1187" s="4"/>
      <c r="DA1187" s="4"/>
      <c r="DB1187" s="4"/>
      <c r="DC1187" s="4"/>
      <c r="DD1187" s="4"/>
      <c r="DE1187" s="4"/>
      <c r="DF1187" s="4"/>
      <c r="DG1187" s="3"/>
      <c r="DH1187" s="3"/>
      <c r="DI1187" s="3"/>
      <c r="DJ1187" s="4"/>
      <c r="DK1187" s="4"/>
      <c r="DL1187" s="4"/>
      <c r="DM1187" s="4"/>
      <c r="DN1187" s="8"/>
      <c r="DO1187" s="8"/>
      <c r="DP1187" s="8"/>
      <c r="DQ1187" s="8"/>
      <c r="DR1187" s="4"/>
      <c r="DS1187" s="4"/>
      <c r="DT1187" s="4"/>
      <c r="DU1187" s="4"/>
      <c r="DV1187" s="8"/>
      <c r="DW1187" s="4"/>
      <c r="DX1187" s="4"/>
      <c r="DY1187" s="4"/>
      <c r="DZ1187" s="4"/>
      <c r="EA1187" s="4"/>
      <c r="EB1187" s="4"/>
      <c r="EC1187" s="4"/>
      <c r="ED1187" s="4"/>
      <c r="EE1187" s="4"/>
      <c r="EF1187" s="4"/>
      <c r="EG1187" s="4"/>
      <c r="EH1187" s="4"/>
      <c r="EI1187" s="4"/>
      <c r="EJ1187" s="4"/>
      <c r="EK1187" s="4"/>
      <c r="EL1187" s="8"/>
      <c r="EM1187" s="3"/>
      <c r="EN1187" s="3"/>
      <c r="EO1187" s="3"/>
      <c r="EP1187" s="3"/>
      <c r="EQ1187" s="3"/>
      <c r="ER1187" s="4"/>
      <c r="ES1187" s="4"/>
      <c r="ET1187" s="3"/>
    </row>
    <row r="1188" spans="1:151" hidden="1">
      <c r="A1188" s="11" t="s">
        <v>9940</v>
      </c>
      <c r="B1188" s="3" t="s">
        <v>8373</v>
      </c>
      <c r="C1188" s="3">
        <v>2017</v>
      </c>
      <c r="D1188" s="3" t="s">
        <v>9269</v>
      </c>
      <c r="E1188" s="3" t="s">
        <v>9270</v>
      </c>
      <c r="F1188" s="3">
        <v>1</v>
      </c>
      <c r="G1188" s="3"/>
      <c r="H1188" s="3" t="s">
        <v>9271</v>
      </c>
      <c r="I1188" s="3"/>
      <c r="J1188" s="3"/>
      <c r="K1188" s="3" t="s">
        <v>84</v>
      </c>
      <c r="L1188" s="4"/>
      <c r="M1188" s="3" t="s">
        <v>9047</v>
      </c>
      <c r="T1188" s="3" t="s">
        <v>4956</v>
      </c>
      <c r="V1188" s="3"/>
      <c r="W1188" s="4"/>
      <c r="X1188" s="5" t="s">
        <v>4959</v>
      </c>
      <c r="Y1188" s="5"/>
      <c r="Z1188" s="3">
        <v>0</v>
      </c>
      <c r="AA1188" s="3" t="s">
        <v>9245</v>
      </c>
      <c r="AB1188" s="3"/>
      <c r="AE1188" s="3"/>
      <c r="AF1188" s="4"/>
      <c r="AG1188" s="4"/>
      <c r="AH1188" s="4"/>
      <c r="AI1188" s="4"/>
      <c r="AJ1188" s="4"/>
      <c r="AK1188" s="3"/>
      <c r="AL1188" s="3"/>
      <c r="AM1188" s="3"/>
      <c r="AN1188" s="3"/>
      <c r="AO1188" s="4"/>
      <c r="AP1188" s="3"/>
      <c r="AQ1188" s="4"/>
      <c r="AR1188" s="3"/>
      <c r="AS1188" s="3"/>
      <c r="AT1188" s="4"/>
      <c r="AU1188" s="3"/>
      <c r="AV1188" s="4"/>
      <c r="AW1188" s="4"/>
      <c r="AX1188" s="4"/>
      <c r="AY1188" s="4"/>
      <c r="AZ1188" s="4"/>
      <c r="BA1188" s="4"/>
      <c r="BB1188" s="4"/>
      <c r="BC1188" s="4"/>
      <c r="BD1188" s="4"/>
      <c r="BE1188" s="4"/>
      <c r="BF1188" s="3"/>
      <c r="BG1188" s="3"/>
      <c r="BH1188" s="3"/>
      <c r="BI1188" s="4"/>
      <c r="BJ1188" s="3"/>
      <c r="BK1188" s="4"/>
      <c r="BL1188" s="4"/>
      <c r="BM1188" s="3"/>
      <c r="BN1188" s="4"/>
      <c r="BO1188" s="4"/>
      <c r="BP1188" s="4"/>
      <c r="BQ1188" s="4"/>
      <c r="BR1188" s="4"/>
      <c r="BS1188" s="4"/>
      <c r="BT1188" s="4"/>
      <c r="BU1188" s="4"/>
      <c r="BV1188" s="4"/>
      <c r="BW1188" s="4"/>
      <c r="BX1188" s="4"/>
      <c r="BY1188" s="4"/>
      <c r="BZ1188" s="4"/>
      <c r="CA1188" s="4"/>
      <c r="CB1188" s="4"/>
      <c r="CC1188" s="4"/>
      <c r="CD1188" s="4"/>
      <c r="CE1188" s="4"/>
      <c r="CF1188" s="4"/>
      <c r="CG1188" s="4"/>
      <c r="CH1188" s="4"/>
      <c r="CI1188" s="4"/>
      <c r="CJ1188" s="4"/>
      <c r="CK1188" s="3"/>
      <c r="CL1188" s="3"/>
      <c r="CM1188" s="4"/>
      <c r="CN1188" s="4"/>
      <c r="CO1188" s="4"/>
      <c r="CP1188" s="4"/>
      <c r="CQ1188" s="4"/>
      <c r="CR1188" s="4"/>
      <c r="CS1188" s="4"/>
      <c r="CT1188" s="4"/>
      <c r="CU1188" s="4"/>
      <c r="CV1188" s="4"/>
      <c r="CW1188" s="4"/>
      <c r="CX1188" s="4"/>
      <c r="CY1188" s="4"/>
      <c r="CZ1188" s="4"/>
      <c r="DA1188" s="4"/>
      <c r="DB1188" s="4"/>
      <c r="DC1188" s="4"/>
      <c r="DD1188" s="4"/>
      <c r="DE1188" s="4"/>
      <c r="DF1188" s="4"/>
      <c r="DG1188" s="4"/>
      <c r="DH1188" s="4"/>
      <c r="DI1188" s="4"/>
      <c r="DJ1188" s="4"/>
      <c r="DK1188" s="4"/>
      <c r="DL1188" s="4"/>
      <c r="DM1188" s="4"/>
      <c r="DN1188" s="4"/>
      <c r="DO1188" s="4"/>
      <c r="DP1188" s="4"/>
      <c r="DQ1188" s="4"/>
      <c r="DR1188" s="4"/>
      <c r="DS1188" s="4"/>
      <c r="DT1188" s="4"/>
      <c r="DU1188" s="4"/>
      <c r="DV1188" s="4"/>
      <c r="DW1188" s="4"/>
      <c r="DX1188" s="4"/>
    </row>
    <row r="1189" spans="1:151" hidden="1">
      <c r="A1189" s="11" t="s">
        <v>9940</v>
      </c>
      <c r="B1189" s="3" t="s">
        <v>8373</v>
      </c>
      <c r="C1189" s="3">
        <v>2016</v>
      </c>
      <c r="D1189" s="3" t="s">
        <v>7142</v>
      </c>
      <c r="E1189" s="3" t="s">
        <v>9272</v>
      </c>
      <c r="F1189" s="3">
        <v>1</v>
      </c>
      <c r="G1189" s="3"/>
      <c r="H1189" s="3" t="s">
        <v>9274</v>
      </c>
      <c r="I1189" s="3"/>
      <c r="J1189" s="3"/>
      <c r="K1189" s="3" t="s">
        <v>2351</v>
      </c>
      <c r="L1189" s="4"/>
      <c r="M1189" s="3" t="s">
        <v>9273</v>
      </c>
      <c r="T1189" s="3" t="s">
        <v>7144</v>
      </c>
      <c r="V1189" s="3"/>
      <c r="W1189" s="3"/>
      <c r="X1189" s="5" t="s">
        <v>7147</v>
      </c>
      <c r="Y1189" s="5"/>
      <c r="Z1189" s="3">
        <v>0</v>
      </c>
      <c r="AA1189" s="3" t="s">
        <v>9237</v>
      </c>
      <c r="AB1189" s="4"/>
      <c r="AE1189" s="3"/>
      <c r="AF1189" s="4"/>
      <c r="AG1189" s="4"/>
      <c r="AH1189" s="4"/>
      <c r="AI1189" s="4"/>
      <c r="AJ1189" s="4"/>
      <c r="AK1189" s="3"/>
      <c r="AL1189" s="3"/>
      <c r="AM1189" s="3"/>
      <c r="AN1189" s="3"/>
      <c r="AO1189" s="4"/>
      <c r="AP1189" s="3"/>
      <c r="AQ1189" s="4"/>
      <c r="AR1189" s="3"/>
      <c r="AS1189" s="3"/>
      <c r="AT1189" s="4"/>
      <c r="AU1189" s="3"/>
      <c r="AV1189" s="4"/>
      <c r="AW1189" s="4"/>
      <c r="AX1189" s="4"/>
      <c r="AY1189" s="4"/>
      <c r="AZ1189" s="4"/>
      <c r="BA1189" s="4"/>
      <c r="BB1189" s="4"/>
      <c r="BC1189" s="4"/>
      <c r="BD1189" s="4"/>
      <c r="BE1189" s="4"/>
      <c r="BF1189" s="3"/>
      <c r="BG1189" s="3"/>
      <c r="BH1189" s="3"/>
      <c r="BI1189" s="4"/>
      <c r="BJ1189" s="3"/>
      <c r="BK1189" s="4"/>
      <c r="BL1189" s="3"/>
      <c r="BM1189" s="4"/>
      <c r="BN1189" s="4"/>
      <c r="BO1189" s="4"/>
      <c r="BP1189" s="4"/>
      <c r="BQ1189" s="4"/>
      <c r="BR1189" s="4"/>
      <c r="BS1189" s="4"/>
      <c r="BT1189" s="4"/>
      <c r="BU1189" s="4"/>
      <c r="BV1189" s="4"/>
      <c r="BW1189" s="4"/>
      <c r="BX1189" s="4"/>
      <c r="BY1189" s="4"/>
      <c r="BZ1189" s="4"/>
      <c r="CA1189" s="4"/>
      <c r="CB1189" s="4"/>
      <c r="CC1189" s="4"/>
      <c r="CD1189" s="4"/>
      <c r="CE1189" s="4"/>
      <c r="CF1189" s="4"/>
      <c r="CG1189" s="4"/>
      <c r="CH1189" s="4"/>
      <c r="CI1189" s="4"/>
      <c r="CJ1189" s="4"/>
      <c r="CK1189" s="4"/>
      <c r="CL1189" s="4"/>
      <c r="CM1189" s="4"/>
      <c r="CN1189" s="4"/>
      <c r="CO1189" s="4"/>
      <c r="CP1189" s="4"/>
      <c r="CQ1189" s="4"/>
      <c r="CR1189" s="4"/>
      <c r="CS1189" s="4"/>
      <c r="CT1189" s="4"/>
      <c r="CU1189" s="4"/>
      <c r="CV1189" s="4"/>
      <c r="CW1189" s="4"/>
      <c r="CX1189" s="4"/>
      <c r="CY1189" s="4"/>
      <c r="CZ1189" s="3"/>
      <c r="DA1189" s="3"/>
      <c r="DB1189" s="4"/>
      <c r="DC1189" s="4"/>
      <c r="DD1189" s="4"/>
      <c r="DE1189" s="4"/>
      <c r="DF1189" s="4"/>
      <c r="DG1189" s="4"/>
      <c r="DH1189" s="4"/>
      <c r="DI1189" s="4"/>
      <c r="DJ1189" s="4"/>
      <c r="DK1189" s="4"/>
      <c r="DL1189" s="4"/>
      <c r="DM1189" s="4"/>
      <c r="DN1189" s="4"/>
      <c r="DO1189" s="4"/>
      <c r="DP1189" s="4"/>
      <c r="DQ1189" s="4"/>
      <c r="DR1189" s="4"/>
      <c r="DS1189" s="4"/>
      <c r="DT1189" s="4"/>
      <c r="DU1189" s="4"/>
      <c r="DV1189" s="4"/>
      <c r="DW1189" s="4"/>
      <c r="DX1189" s="4"/>
      <c r="DY1189" s="4"/>
      <c r="DZ1189" s="4"/>
      <c r="EA1189" s="4"/>
      <c r="EB1189" s="4"/>
      <c r="EC1189" s="4"/>
      <c r="ED1189" s="4"/>
      <c r="EE1189" s="4"/>
      <c r="EF1189" s="4"/>
      <c r="EG1189" s="4"/>
      <c r="EH1189" s="4"/>
      <c r="EI1189" s="4"/>
      <c r="EJ1189" s="4"/>
      <c r="EK1189" s="4"/>
      <c r="EL1189" s="4"/>
      <c r="EM1189" s="4"/>
    </row>
    <row r="1190" spans="1:151" hidden="1">
      <c r="A1190" s="11" t="s">
        <v>9940</v>
      </c>
      <c r="B1190" s="3" t="s">
        <v>8373</v>
      </c>
      <c r="C1190" s="3">
        <v>2016</v>
      </c>
      <c r="D1190" s="3" t="s">
        <v>6897</v>
      </c>
      <c r="E1190" s="3" t="s">
        <v>8484</v>
      </c>
      <c r="F1190" s="3">
        <v>1</v>
      </c>
      <c r="G1190" s="3"/>
      <c r="H1190" s="3" t="s">
        <v>8486</v>
      </c>
      <c r="I1190" s="3"/>
      <c r="J1190" s="3"/>
      <c r="K1190" s="3" t="s">
        <v>5670</v>
      </c>
      <c r="L1190" s="4"/>
      <c r="M1190" s="3" t="s">
        <v>8485</v>
      </c>
      <c r="T1190" s="3" t="s">
        <v>6899</v>
      </c>
      <c r="V1190" s="3"/>
      <c r="W1190" s="3"/>
      <c r="X1190" s="5" t="s">
        <v>6902</v>
      </c>
      <c r="Y1190" s="5"/>
      <c r="Z1190" s="3">
        <v>1</v>
      </c>
      <c r="AA1190" s="4"/>
      <c r="AB1190" s="4"/>
      <c r="AE1190" s="3"/>
      <c r="AF1190" s="3"/>
      <c r="AG1190" s="4"/>
      <c r="AH1190" s="4"/>
      <c r="AI1190" s="4"/>
      <c r="AJ1190" s="4"/>
      <c r="AK1190" s="3"/>
      <c r="AL1190" s="3"/>
      <c r="AM1190" s="3"/>
      <c r="AN1190" s="3"/>
      <c r="AO1190" s="4"/>
      <c r="AP1190" s="3"/>
      <c r="AQ1190" s="4"/>
      <c r="AR1190" s="4"/>
      <c r="AS1190" s="3"/>
      <c r="AT1190" s="4"/>
      <c r="AU1190" s="3"/>
      <c r="AV1190" s="4"/>
      <c r="AW1190" s="4"/>
      <c r="AX1190" s="4"/>
      <c r="AY1190" s="4"/>
      <c r="AZ1190" s="4"/>
      <c r="BA1190" s="4"/>
      <c r="BB1190" s="4"/>
      <c r="BC1190" s="4"/>
      <c r="BD1190" s="4"/>
      <c r="BE1190" s="4"/>
      <c r="BF1190" s="3"/>
      <c r="BG1190" s="3"/>
      <c r="BH1190" s="3"/>
      <c r="BI1190" s="4"/>
      <c r="BJ1190" s="3"/>
      <c r="BK1190" s="4"/>
      <c r="BL1190" s="4"/>
      <c r="BM1190" s="3"/>
      <c r="BN1190" s="4"/>
      <c r="BO1190" s="4"/>
      <c r="BP1190" s="4"/>
      <c r="BQ1190" s="4"/>
      <c r="BR1190" s="4"/>
      <c r="BS1190" s="4"/>
      <c r="BT1190" s="4"/>
      <c r="BU1190" s="4"/>
      <c r="BV1190" s="4"/>
      <c r="BW1190" s="4"/>
      <c r="BX1190" s="4"/>
      <c r="BY1190" s="4"/>
      <c r="BZ1190" s="4"/>
      <c r="CA1190" s="4"/>
      <c r="CB1190" s="4"/>
      <c r="CC1190" s="4"/>
      <c r="CD1190" s="4"/>
      <c r="CE1190" s="4"/>
      <c r="CF1190" s="4"/>
      <c r="CG1190" s="4"/>
      <c r="CH1190" s="3"/>
      <c r="CI1190" s="3"/>
      <c r="CJ1190" s="8"/>
      <c r="CK1190" s="4"/>
      <c r="CL1190" s="4"/>
      <c r="CM1190" s="4"/>
      <c r="CN1190" s="4"/>
      <c r="CO1190" s="8"/>
      <c r="CP1190" s="8"/>
      <c r="CQ1190" s="8"/>
      <c r="CR1190" s="8"/>
      <c r="CS1190" s="4"/>
      <c r="CT1190" s="4"/>
      <c r="CU1190" s="4"/>
      <c r="CV1190" s="4"/>
      <c r="CW1190" s="4"/>
      <c r="CX1190" s="4"/>
      <c r="CY1190" s="4"/>
      <c r="CZ1190" s="4"/>
      <c r="DA1190" s="4"/>
      <c r="DB1190" s="4"/>
      <c r="DC1190" s="4"/>
      <c r="DD1190" s="4"/>
      <c r="DE1190" s="4"/>
      <c r="DF1190" s="4"/>
      <c r="DG1190" s="4"/>
      <c r="DH1190" s="4"/>
      <c r="DI1190" s="4"/>
      <c r="DJ1190" s="4"/>
      <c r="DK1190" s="4"/>
      <c r="DL1190" s="4"/>
      <c r="DM1190" s="8"/>
      <c r="DN1190" s="8"/>
      <c r="DO1190" s="8"/>
      <c r="DP1190" s="8"/>
      <c r="DQ1190" s="8"/>
      <c r="DR1190" s="8"/>
      <c r="DS1190" s="4"/>
      <c r="DT1190" s="4"/>
      <c r="DU1190" s="4"/>
    </row>
    <row r="1191" spans="1:151" hidden="1">
      <c r="A1191" s="11" t="s">
        <v>9940</v>
      </c>
      <c r="B1191" s="3" t="s">
        <v>8373</v>
      </c>
      <c r="C1191" s="3">
        <v>2000</v>
      </c>
      <c r="D1191" s="3" t="s">
        <v>8487</v>
      </c>
      <c r="E1191" s="3" t="s">
        <v>8488</v>
      </c>
      <c r="F1191" s="3">
        <v>1</v>
      </c>
      <c r="G1191" s="3"/>
      <c r="H1191" s="3" t="s">
        <v>8492</v>
      </c>
      <c r="I1191" s="3"/>
      <c r="J1191" s="3"/>
      <c r="K1191" s="3" t="s">
        <v>5875</v>
      </c>
      <c r="L1191" s="4"/>
      <c r="M1191" s="3" t="s">
        <v>8489</v>
      </c>
      <c r="T1191" s="3" t="s">
        <v>8490</v>
      </c>
      <c r="V1191" s="3"/>
      <c r="W1191" s="4"/>
      <c r="X1191" s="5" t="s">
        <v>8491</v>
      </c>
      <c r="Y1191" s="5"/>
      <c r="Z1191" s="3">
        <v>1</v>
      </c>
      <c r="AA1191" s="4"/>
      <c r="AB1191" s="4"/>
      <c r="AE1191" s="3"/>
      <c r="AF1191" s="3"/>
      <c r="AG1191" s="4"/>
      <c r="AH1191" s="4"/>
      <c r="AI1191" s="4"/>
      <c r="AJ1191" s="4"/>
      <c r="AK1191" s="3"/>
      <c r="AL1191" s="3"/>
      <c r="AM1191" s="3"/>
      <c r="AN1191" s="3"/>
      <c r="AO1191" s="4"/>
      <c r="AP1191" s="3"/>
      <c r="AQ1191" s="4"/>
      <c r="AR1191" s="3"/>
      <c r="AS1191" s="3"/>
      <c r="AT1191" s="4"/>
      <c r="AU1191" s="3"/>
      <c r="AV1191" s="4"/>
      <c r="AW1191" s="4"/>
      <c r="AX1191" s="4"/>
      <c r="AY1191" s="4"/>
      <c r="AZ1191" s="4"/>
      <c r="BA1191" s="4"/>
      <c r="BB1191" s="4"/>
      <c r="BC1191" s="4"/>
      <c r="BD1191" s="4"/>
      <c r="BE1191" s="4"/>
      <c r="BF1191" s="3"/>
      <c r="BG1191" s="3"/>
      <c r="BH1191" s="3"/>
      <c r="BI1191" s="4"/>
      <c r="BJ1191" s="3"/>
      <c r="BK1191" s="4"/>
      <c r="BL1191" s="4"/>
      <c r="BM1191" s="3"/>
      <c r="BN1191" s="4"/>
      <c r="BO1191" s="4"/>
      <c r="BP1191" s="4"/>
      <c r="BQ1191" s="4"/>
      <c r="BR1191" s="4"/>
      <c r="BS1191" s="4"/>
      <c r="BT1191" s="4"/>
      <c r="BU1191" s="4"/>
      <c r="BV1191" s="4"/>
      <c r="BW1191" s="4"/>
      <c r="BX1191" s="4"/>
      <c r="BY1191" s="4"/>
      <c r="BZ1191" s="4"/>
      <c r="CA1191" s="4"/>
      <c r="CB1191" s="4"/>
      <c r="CC1191" s="4"/>
      <c r="CD1191" s="4"/>
      <c r="CE1191" s="4"/>
      <c r="CF1191" s="4"/>
      <c r="CG1191" s="4"/>
      <c r="CH1191" s="4"/>
      <c r="CI1191" s="4"/>
      <c r="CJ1191" s="4"/>
      <c r="CK1191" s="4"/>
      <c r="CL1191" s="4"/>
      <c r="CM1191" s="4"/>
      <c r="CN1191" s="3"/>
      <c r="CO1191" s="3"/>
      <c r="CP1191" s="8"/>
      <c r="CQ1191" s="4"/>
      <c r="CR1191" s="4"/>
      <c r="CS1191" s="4"/>
      <c r="CT1191" s="4"/>
      <c r="CU1191" s="8"/>
      <c r="CV1191" s="8"/>
      <c r="CW1191" s="8"/>
      <c r="CX1191" s="8"/>
      <c r="CY1191" s="4"/>
      <c r="CZ1191" s="4"/>
      <c r="DA1191" s="4"/>
      <c r="DB1191" s="4"/>
      <c r="DC1191" s="4"/>
      <c r="DD1191" s="4"/>
      <c r="DE1191" s="4"/>
      <c r="DF1191" s="4"/>
      <c r="DG1191" s="4"/>
      <c r="DH1191" s="4"/>
      <c r="DI1191" s="4"/>
      <c r="DJ1191" s="4"/>
      <c r="DK1191" s="4"/>
      <c r="DL1191" s="4"/>
      <c r="DM1191" s="4"/>
      <c r="DN1191" s="4"/>
      <c r="DO1191" s="4"/>
      <c r="DP1191" s="4"/>
      <c r="DQ1191" s="4"/>
      <c r="DR1191" s="4"/>
      <c r="DS1191" s="8"/>
      <c r="DT1191" s="8"/>
      <c r="DU1191" s="8"/>
      <c r="DV1191" s="8"/>
      <c r="DW1191" s="8"/>
      <c r="DX1191" s="8"/>
      <c r="DY1191" s="4"/>
      <c r="DZ1191" s="4"/>
      <c r="EA1191" s="4"/>
    </row>
    <row r="1192" spans="1:151" hidden="1">
      <c r="A1192" s="11" t="s">
        <v>9940</v>
      </c>
      <c r="B1192" s="3" t="s">
        <v>8373</v>
      </c>
      <c r="C1192" s="3">
        <v>1996</v>
      </c>
      <c r="D1192" s="3" t="s">
        <v>8493</v>
      </c>
      <c r="E1192" s="3" t="s">
        <v>8494</v>
      </c>
      <c r="F1192" s="3">
        <v>1</v>
      </c>
      <c r="G1192" s="3"/>
      <c r="H1192" s="3" t="s">
        <v>8498</v>
      </c>
      <c r="I1192" s="3"/>
      <c r="J1192" s="3"/>
      <c r="K1192" s="3" t="s">
        <v>1980</v>
      </c>
      <c r="L1192" s="4"/>
      <c r="M1192" s="3" t="s">
        <v>8495</v>
      </c>
      <c r="T1192" s="3" t="s">
        <v>8496</v>
      </c>
      <c r="V1192" s="3"/>
      <c r="W1192" s="3"/>
      <c r="X1192" s="5" t="s">
        <v>8497</v>
      </c>
      <c r="Y1192" s="5"/>
      <c r="Z1192" s="3">
        <v>1</v>
      </c>
      <c r="AA1192" s="4"/>
      <c r="AB1192" s="3"/>
      <c r="AE1192" s="3"/>
      <c r="AF1192" s="3"/>
      <c r="AG1192" s="4"/>
      <c r="AH1192" s="4"/>
      <c r="AI1192" s="4"/>
      <c r="AJ1192" s="4"/>
      <c r="AK1192" s="3"/>
      <c r="AL1192" s="3"/>
      <c r="AM1192" s="3"/>
      <c r="AN1192" s="3"/>
      <c r="AO1192" s="4"/>
      <c r="AP1192" s="3"/>
      <c r="AQ1192" s="4"/>
      <c r="AR1192" s="3"/>
      <c r="AS1192" s="3"/>
      <c r="AT1192" s="4"/>
      <c r="AU1192" s="3"/>
      <c r="AV1192" s="4"/>
      <c r="AW1192" s="3"/>
      <c r="AX1192" s="4"/>
      <c r="AY1192" s="4"/>
      <c r="AZ1192" s="4"/>
      <c r="BA1192" s="3"/>
      <c r="BB1192" s="3"/>
      <c r="BC1192" s="3"/>
      <c r="BD1192" s="4"/>
      <c r="BE1192" s="3"/>
      <c r="BF1192" s="4"/>
      <c r="BG1192" s="3"/>
      <c r="BH1192" s="4"/>
      <c r="BI1192" s="4"/>
      <c r="BJ1192" s="4"/>
      <c r="BK1192" s="4"/>
      <c r="BL1192" s="4"/>
      <c r="BM1192" s="4"/>
      <c r="BN1192" s="4"/>
      <c r="BO1192" s="4"/>
      <c r="BP1192" s="4"/>
      <c r="BQ1192" s="4"/>
      <c r="BR1192" s="4"/>
      <c r="BS1192" s="4"/>
      <c r="BT1192" s="4"/>
      <c r="BU1192" s="4"/>
      <c r="BV1192" s="4"/>
      <c r="BW1192" s="4"/>
      <c r="BX1192" s="4"/>
      <c r="BY1192" s="4"/>
      <c r="BZ1192" s="4"/>
      <c r="CA1192" s="4"/>
      <c r="CB1192" s="4"/>
      <c r="CC1192" s="4"/>
      <c r="CD1192" s="4"/>
      <c r="CE1192" s="4"/>
      <c r="CF1192" s="4"/>
      <c r="CG1192" s="4"/>
      <c r="CH1192" s="4"/>
      <c r="CI1192" s="4"/>
      <c r="CJ1192" s="4"/>
      <c r="CK1192" s="4"/>
      <c r="CL1192" s="4"/>
      <c r="CM1192" s="4"/>
      <c r="CN1192" s="4"/>
      <c r="CO1192" s="3"/>
      <c r="CP1192" s="3"/>
      <c r="CQ1192" s="8"/>
      <c r="CR1192" s="4"/>
      <c r="CS1192" s="4"/>
      <c r="CT1192" s="4"/>
      <c r="CU1192" s="4"/>
      <c r="CV1192" s="8"/>
      <c r="CW1192" s="8"/>
      <c r="CX1192" s="8"/>
      <c r="CY1192" s="8"/>
      <c r="CZ1192" s="4"/>
      <c r="DA1192" s="4"/>
      <c r="DB1192" s="4"/>
      <c r="DC1192" s="4"/>
      <c r="DD1192" s="4"/>
      <c r="DE1192" s="4"/>
      <c r="DF1192" s="4"/>
      <c r="DG1192" s="4"/>
      <c r="DH1192" s="4"/>
      <c r="DI1192" s="4"/>
      <c r="DJ1192" s="4"/>
      <c r="DK1192" s="4"/>
      <c r="DL1192" s="4"/>
      <c r="DM1192" s="4"/>
      <c r="DN1192" s="4"/>
      <c r="DO1192" s="4"/>
      <c r="DP1192" s="4"/>
      <c r="DQ1192" s="4"/>
      <c r="DR1192" s="4"/>
      <c r="DS1192" s="4"/>
      <c r="DT1192" s="8"/>
      <c r="DU1192" s="8"/>
      <c r="DV1192" s="8"/>
      <c r="DW1192" s="8"/>
      <c r="DX1192" s="8"/>
      <c r="DY1192" s="8"/>
      <c r="DZ1192" s="4"/>
      <c r="EA1192" s="4"/>
      <c r="EB1192" s="4"/>
    </row>
    <row r="1193" spans="1:151" hidden="1">
      <c r="A1193" s="11" t="s">
        <v>9940</v>
      </c>
      <c r="B1193" s="3" t="s">
        <v>8373</v>
      </c>
      <c r="C1193" s="3">
        <v>2018</v>
      </c>
      <c r="D1193" s="3" t="s">
        <v>5198</v>
      </c>
      <c r="E1193" s="3" t="s">
        <v>9275</v>
      </c>
      <c r="F1193" s="3">
        <v>0</v>
      </c>
      <c r="G1193" s="3" t="s">
        <v>9249</v>
      </c>
      <c r="H1193" s="3" t="s">
        <v>5202</v>
      </c>
      <c r="I1193" s="3"/>
      <c r="J1193" s="3"/>
      <c r="K1193" s="3" t="s">
        <v>1331</v>
      </c>
      <c r="L1193" s="4"/>
      <c r="M1193" s="3" t="s">
        <v>8400</v>
      </c>
      <c r="T1193" s="3" t="s">
        <v>5200</v>
      </c>
      <c r="V1193" s="4"/>
      <c r="W1193" s="4"/>
      <c r="X1193" s="5" t="s">
        <v>5203</v>
      </c>
      <c r="Y1193" s="5"/>
      <c r="Z1193" s="4"/>
      <c r="AA1193" s="4"/>
      <c r="AB1193" s="4"/>
      <c r="AE1193" s="4"/>
      <c r="AF1193" s="4"/>
      <c r="AG1193" s="3"/>
      <c r="AH1193" s="7"/>
      <c r="AI1193" s="3"/>
      <c r="AJ1193" s="3"/>
      <c r="AK1193" s="4"/>
      <c r="AL1193" s="4"/>
      <c r="AM1193" s="4"/>
      <c r="AN1193" s="3"/>
      <c r="AO1193" s="3"/>
      <c r="AP1193" s="4"/>
      <c r="AQ1193" s="3"/>
      <c r="AR1193" s="4"/>
      <c r="AS1193" s="4"/>
      <c r="AT1193" s="4"/>
      <c r="AU1193" s="4"/>
      <c r="AV1193" s="4"/>
      <c r="AW1193" s="4"/>
      <c r="AX1193" s="4"/>
      <c r="AY1193" s="4"/>
      <c r="AZ1193" s="4"/>
      <c r="BA1193" s="4"/>
      <c r="BB1193" s="3"/>
      <c r="BC1193" s="3"/>
      <c r="BD1193" s="3"/>
      <c r="BE1193" s="4"/>
      <c r="BF1193" s="3"/>
      <c r="BG1193" s="4"/>
      <c r="BH1193" s="4"/>
      <c r="BI1193" s="3"/>
      <c r="BJ1193" s="4"/>
      <c r="BK1193" s="4"/>
      <c r="BL1193" s="4"/>
      <c r="BM1193" s="4"/>
      <c r="BN1193" s="4"/>
      <c r="BO1193" s="4"/>
      <c r="BP1193" s="4"/>
      <c r="BQ1193" s="4"/>
      <c r="BR1193" s="4"/>
      <c r="BS1193" s="4"/>
      <c r="BT1193" s="4"/>
      <c r="BU1193" s="4"/>
      <c r="BV1193" s="4"/>
      <c r="BW1193" s="4"/>
      <c r="BX1193" s="4"/>
      <c r="BY1193" s="4"/>
      <c r="BZ1193" s="4"/>
      <c r="CA1193" s="4"/>
      <c r="CB1193" s="4"/>
      <c r="CC1193" s="4"/>
      <c r="CD1193" s="4"/>
      <c r="CE1193" s="4"/>
      <c r="CF1193" s="4"/>
      <c r="CG1193" s="4"/>
      <c r="CH1193" s="4"/>
      <c r="CI1193" s="4"/>
      <c r="CJ1193" s="4"/>
      <c r="CK1193" s="4"/>
      <c r="CL1193" s="4"/>
      <c r="CM1193" s="4"/>
      <c r="CN1193" s="4"/>
      <c r="CO1193" s="4"/>
      <c r="CP1193" s="4"/>
      <c r="CQ1193" s="4"/>
      <c r="CR1193" s="4"/>
      <c r="CS1193" s="4"/>
      <c r="CT1193" s="4"/>
      <c r="CU1193" s="4"/>
      <c r="CV1193" s="4"/>
      <c r="CW1193" s="4"/>
      <c r="CX1193" s="4"/>
      <c r="CY1193" s="4"/>
      <c r="CZ1193" s="3"/>
      <c r="DA1193" s="3"/>
      <c r="DB1193" s="4"/>
      <c r="DC1193" s="4"/>
      <c r="DD1193" s="4"/>
      <c r="DE1193" s="4"/>
      <c r="DF1193" s="4"/>
      <c r="DG1193" s="4"/>
      <c r="DH1193" s="4"/>
      <c r="DI1193" s="4"/>
      <c r="DJ1193" s="4"/>
      <c r="DK1193" s="4"/>
      <c r="DL1193" s="4"/>
      <c r="DM1193" s="4"/>
      <c r="DN1193" s="4"/>
      <c r="DO1193" s="4"/>
      <c r="DP1193" s="4"/>
      <c r="DQ1193" s="4"/>
      <c r="DR1193" s="4"/>
      <c r="DS1193" s="4"/>
      <c r="DT1193" s="4"/>
      <c r="DU1193" s="4"/>
      <c r="DV1193" s="4"/>
      <c r="DW1193" s="4"/>
      <c r="DX1193" s="4"/>
      <c r="DY1193" s="4"/>
      <c r="DZ1193" s="4"/>
      <c r="EA1193" s="4"/>
      <c r="EB1193" s="4"/>
      <c r="EC1193" s="4"/>
      <c r="ED1193" s="4"/>
      <c r="EE1193" s="4"/>
      <c r="EF1193" s="4"/>
      <c r="EG1193" s="4"/>
      <c r="EH1193" s="4"/>
      <c r="EI1193" s="4"/>
      <c r="EJ1193" s="4"/>
      <c r="EK1193" s="4"/>
      <c r="EL1193" s="4"/>
      <c r="EM1193" s="4"/>
    </row>
    <row r="1194" spans="1:151" hidden="1">
      <c r="A1194" s="11" t="s">
        <v>9940</v>
      </c>
      <c r="B1194" s="3" t="s">
        <v>8373</v>
      </c>
      <c r="C1194" s="3">
        <v>2018</v>
      </c>
      <c r="D1194" s="3" t="s">
        <v>946</v>
      </c>
      <c r="E1194" s="3" t="s">
        <v>8499</v>
      </c>
      <c r="F1194" s="3">
        <v>1</v>
      </c>
      <c r="G1194" s="3"/>
      <c r="H1194" s="3" t="s">
        <v>950</v>
      </c>
      <c r="I1194" s="3"/>
      <c r="J1194" s="3"/>
      <c r="K1194" s="3" t="s">
        <v>40</v>
      </c>
      <c r="L1194" s="4"/>
      <c r="M1194" s="3" t="s">
        <v>8500</v>
      </c>
      <c r="T1194" s="3" t="s">
        <v>948</v>
      </c>
      <c r="V1194" s="3"/>
      <c r="W1194" s="4"/>
      <c r="X1194" s="5" t="s">
        <v>951</v>
      </c>
      <c r="Y1194" s="5"/>
      <c r="Z1194" s="3">
        <v>1</v>
      </c>
      <c r="AA1194" s="4"/>
      <c r="AB1194" s="4"/>
      <c r="AE1194" s="3"/>
      <c r="AF1194" s="3"/>
      <c r="AG1194" s="4"/>
      <c r="AH1194" s="4"/>
      <c r="AI1194" s="4"/>
      <c r="AJ1194" s="4"/>
      <c r="AK1194" s="3"/>
      <c r="AL1194" s="3"/>
      <c r="AM1194" s="3"/>
      <c r="AN1194" s="3"/>
      <c r="AO1194" s="4"/>
      <c r="AP1194" s="3"/>
      <c r="AQ1194" s="4"/>
      <c r="AR1194" s="3"/>
      <c r="AS1194" s="3"/>
      <c r="AT1194" s="4"/>
      <c r="AU1194" s="3"/>
      <c r="AV1194" s="4"/>
      <c r="AW1194" s="4"/>
      <c r="AX1194" s="4"/>
      <c r="AY1194" s="4"/>
      <c r="AZ1194" s="4"/>
      <c r="BA1194" s="4"/>
      <c r="BB1194" s="4"/>
      <c r="BC1194" s="4"/>
      <c r="BD1194" s="4"/>
      <c r="BE1194" s="4"/>
      <c r="BF1194" s="3"/>
      <c r="BG1194" s="3"/>
      <c r="BH1194" s="3"/>
      <c r="BI1194" s="4"/>
      <c r="BJ1194" s="3"/>
      <c r="BK1194" s="4"/>
      <c r="BL1194" s="4"/>
      <c r="BM1194" s="4"/>
      <c r="BN1194" s="3"/>
      <c r="BO1194" s="4"/>
      <c r="BP1194" s="4"/>
      <c r="BQ1194" s="4"/>
      <c r="BR1194" s="4"/>
      <c r="BS1194" s="4"/>
      <c r="BT1194" s="4"/>
      <c r="BU1194" s="4"/>
      <c r="BV1194" s="4"/>
      <c r="BW1194" s="4"/>
      <c r="BX1194" s="4"/>
      <c r="BY1194" s="4"/>
      <c r="BZ1194" s="4"/>
      <c r="CA1194" s="4"/>
      <c r="CB1194" s="4"/>
      <c r="CC1194" s="4"/>
      <c r="CD1194" s="4"/>
      <c r="CE1194" s="4"/>
      <c r="CF1194" s="4"/>
      <c r="CG1194" s="4"/>
      <c r="CH1194" s="4"/>
      <c r="CI1194" s="4"/>
      <c r="CJ1194" s="4"/>
      <c r="CK1194" s="4"/>
      <c r="CL1194" s="4"/>
      <c r="CM1194" s="4"/>
      <c r="CN1194" s="4"/>
      <c r="CO1194" s="4"/>
      <c r="CP1194" s="4"/>
      <c r="CQ1194" s="4"/>
      <c r="CR1194" s="4"/>
      <c r="CS1194" s="4"/>
      <c r="CT1194" s="4"/>
      <c r="CU1194" s="4"/>
      <c r="CV1194" s="4"/>
      <c r="CW1194" s="4"/>
      <c r="CX1194" s="4"/>
      <c r="CY1194" s="4"/>
      <c r="CZ1194" s="4"/>
      <c r="DA1194" s="4"/>
      <c r="DB1194" s="4"/>
      <c r="DC1194" s="4"/>
      <c r="DD1194" s="4"/>
      <c r="DE1194" s="3"/>
      <c r="DF1194" s="3"/>
      <c r="DG1194" s="8"/>
      <c r="DH1194" s="4"/>
      <c r="DI1194" s="4"/>
      <c r="DJ1194" s="4"/>
      <c r="DK1194" s="4"/>
      <c r="DL1194" s="8"/>
      <c r="DM1194" s="8"/>
      <c r="DN1194" s="8"/>
      <c r="DO1194" s="8"/>
      <c r="DP1194" s="4"/>
      <c r="DQ1194" s="4"/>
      <c r="DR1194" s="4"/>
      <c r="DS1194" s="4"/>
      <c r="DT1194" s="4"/>
      <c r="DU1194" s="4"/>
      <c r="DV1194" s="4"/>
      <c r="DW1194" s="4"/>
      <c r="DX1194" s="4"/>
      <c r="DY1194" s="4"/>
      <c r="DZ1194" s="4"/>
      <c r="EA1194" s="4"/>
      <c r="EB1194" s="4"/>
      <c r="EC1194" s="4"/>
      <c r="ED1194" s="4"/>
      <c r="EE1194" s="4"/>
      <c r="EF1194" s="4"/>
      <c r="EG1194" s="4"/>
      <c r="EH1194" s="4"/>
      <c r="EI1194" s="4"/>
      <c r="EJ1194" s="8"/>
      <c r="EK1194" s="8"/>
      <c r="EL1194" s="8"/>
      <c r="EM1194" s="8"/>
      <c r="EN1194" s="8"/>
      <c r="EO1194" s="8"/>
      <c r="EP1194" s="4"/>
      <c r="EQ1194" s="4"/>
      <c r="ER1194" s="4"/>
    </row>
    <row r="1195" spans="1:151" hidden="1">
      <c r="A1195" s="11" t="s">
        <v>9940</v>
      </c>
      <c r="B1195" s="3" t="s">
        <v>8373</v>
      </c>
      <c r="C1195" s="3">
        <v>2000</v>
      </c>
      <c r="D1195" s="3" t="s">
        <v>8501</v>
      </c>
      <c r="E1195" s="3" t="s">
        <v>8502</v>
      </c>
      <c r="F1195" s="3">
        <v>1</v>
      </c>
      <c r="G1195" s="3"/>
      <c r="H1195" s="3" t="s">
        <v>8507</v>
      </c>
      <c r="I1195" s="3"/>
      <c r="J1195" s="3"/>
      <c r="K1195" s="3" t="s">
        <v>8503</v>
      </c>
      <c r="L1195" s="4"/>
      <c r="M1195" s="3" t="s">
        <v>8504</v>
      </c>
      <c r="T1195" s="3" t="s">
        <v>8505</v>
      </c>
      <c r="V1195" s="3"/>
      <c r="W1195" s="4"/>
      <c r="X1195" s="5" t="s">
        <v>8506</v>
      </c>
      <c r="Y1195" s="5"/>
      <c r="Z1195" s="3">
        <v>1</v>
      </c>
      <c r="AA1195" s="4"/>
      <c r="AB1195" s="4"/>
      <c r="AE1195" s="3"/>
      <c r="AF1195" s="3"/>
      <c r="AG1195" s="4"/>
      <c r="AH1195" s="4"/>
      <c r="AI1195" s="4"/>
      <c r="AJ1195" s="4"/>
      <c r="AK1195" s="3"/>
      <c r="AL1195" s="3"/>
      <c r="AM1195" s="3"/>
      <c r="AN1195" s="3"/>
      <c r="AO1195" s="4"/>
      <c r="AP1195" s="3"/>
      <c r="AQ1195" s="4"/>
      <c r="AR1195" s="3"/>
      <c r="AS1195" s="3"/>
      <c r="AT1195" s="4"/>
      <c r="AU1195" s="3"/>
      <c r="AV1195" s="4"/>
      <c r="AW1195" s="4"/>
      <c r="AX1195" s="4"/>
      <c r="AY1195" s="4"/>
      <c r="AZ1195" s="4"/>
      <c r="BA1195" s="4"/>
      <c r="BB1195" s="4"/>
      <c r="BC1195" s="4"/>
      <c r="BD1195" s="4"/>
      <c r="BE1195" s="4"/>
      <c r="BF1195" s="3"/>
      <c r="BG1195" s="3"/>
      <c r="BH1195" s="3"/>
      <c r="BI1195" s="4"/>
      <c r="BJ1195" s="3"/>
      <c r="BK1195" s="4"/>
      <c r="BL1195" s="4"/>
      <c r="BM1195" s="3"/>
      <c r="BN1195" s="4"/>
      <c r="BO1195" s="4"/>
      <c r="BP1195" s="4"/>
      <c r="BQ1195" s="4"/>
      <c r="BR1195" s="4"/>
      <c r="BS1195" s="4"/>
      <c r="BT1195" s="4"/>
      <c r="BU1195" s="4"/>
      <c r="BV1195" s="4"/>
      <c r="BW1195" s="4"/>
      <c r="BX1195" s="4"/>
      <c r="BY1195" s="4"/>
      <c r="BZ1195" s="4"/>
      <c r="CA1195" s="4"/>
      <c r="CB1195" s="4"/>
      <c r="CC1195" s="4"/>
      <c r="CD1195" s="4"/>
      <c r="CE1195" s="4"/>
      <c r="CF1195" s="4"/>
      <c r="CG1195" s="4"/>
      <c r="CH1195" s="4"/>
      <c r="CI1195" s="4"/>
      <c r="CJ1195" s="4"/>
      <c r="CK1195" s="4"/>
      <c r="CL1195" s="4"/>
      <c r="CM1195" s="4"/>
      <c r="CN1195" s="4"/>
      <c r="CO1195" s="4"/>
      <c r="CP1195" s="4"/>
      <c r="CQ1195" s="4"/>
      <c r="CR1195" s="4"/>
      <c r="CS1195" s="4"/>
      <c r="CT1195" s="4"/>
      <c r="CU1195" s="4"/>
      <c r="CV1195" s="4"/>
      <c r="CW1195" s="4"/>
      <c r="CX1195" s="3"/>
      <c r="CY1195" s="3"/>
      <c r="CZ1195" s="8"/>
      <c r="DA1195" s="4"/>
      <c r="DB1195" s="4"/>
      <c r="DC1195" s="4"/>
      <c r="DD1195" s="4"/>
      <c r="DE1195" s="8"/>
      <c r="DF1195" s="8"/>
      <c r="DG1195" s="8"/>
      <c r="DH1195" s="8"/>
      <c r="DI1195" s="4"/>
      <c r="DJ1195" s="4"/>
      <c r="DK1195" s="4"/>
      <c r="DL1195" s="4"/>
      <c r="DM1195" s="4"/>
      <c r="DN1195" s="4"/>
      <c r="DO1195" s="4"/>
      <c r="DP1195" s="4"/>
      <c r="DQ1195" s="4"/>
      <c r="DR1195" s="4"/>
      <c r="DS1195" s="4"/>
      <c r="DT1195" s="4"/>
      <c r="DU1195" s="4"/>
      <c r="DV1195" s="4"/>
      <c r="DW1195" s="4"/>
      <c r="DX1195" s="4"/>
      <c r="DY1195" s="4"/>
      <c r="DZ1195" s="4"/>
      <c r="EA1195" s="4"/>
      <c r="EB1195" s="4"/>
      <c r="EC1195" s="8"/>
      <c r="ED1195" s="8"/>
      <c r="EE1195" s="8"/>
      <c r="EF1195" s="8"/>
      <c r="EG1195" s="8"/>
      <c r="EH1195" s="8"/>
      <c r="EI1195" s="4"/>
      <c r="EJ1195" s="4"/>
      <c r="EK1195" s="4"/>
    </row>
    <row r="1196" spans="1:151" hidden="1">
      <c r="A1196" s="11" t="s">
        <v>9940</v>
      </c>
      <c r="B1196" s="3" t="s">
        <v>8373</v>
      </c>
      <c r="C1196" s="3">
        <v>2018</v>
      </c>
      <c r="D1196" s="3" t="s">
        <v>2810</v>
      </c>
      <c r="E1196" s="3" t="s">
        <v>9276</v>
      </c>
      <c r="F1196" s="3">
        <v>0</v>
      </c>
      <c r="G1196" s="3" t="s">
        <v>9237</v>
      </c>
      <c r="H1196" s="3" t="s">
        <v>2814</v>
      </c>
      <c r="I1196" s="3"/>
      <c r="J1196" s="3"/>
      <c r="K1196" s="3" t="s">
        <v>252</v>
      </c>
      <c r="L1196" s="4"/>
      <c r="M1196" s="3" t="s">
        <v>8427</v>
      </c>
      <c r="T1196" s="3" t="s">
        <v>2812</v>
      </c>
      <c r="V1196" s="4"/>
      <c r="W1196" s="4"/>
      <c r="X1196" s="5" t="s">
        <v>2815</v>
      </c>
      <c r="Y1196" s="5"/>
      <c r="Z1196" s="4"/>
      <c r="AA1196" s="4"/>
      <c r="AB1196" s="4"/>
      <c r="AE1196" s="4"/>
      <c r="AF1196" s="4"/>
      <c r="AG1196" s="3"/>
      <c r="AH1196" s="3"/>
      <c r="AI1196" s="3"/>
      <c r="AJ1196" s="3"/>
      <c r="AK1196" s="4"/>
      <c r="AL1196" s="3"/>
      <c r="AM1196" s="4"/>
      <c r="AN1196" s="3"/>
      <c r="AO1196" s="3"/>
      <c r="AP1196" s="4"/>
      <c r="AQ1196" s="3"/>
      <c r="AR1196" s="4"/>
      <c r="AS1196" s="4"/>
      <c r="AT1196" s="4"/>
      <c r="AU1196" s="4"/>
      <c r="AV1196" s="4"/>
      <c r="AW1196" s="4"/>
      <c r="AX1196" s="4"/>
      <c r="AY1196" s="4"/>
      <c r="AZ1196" s="4"/>
      <c r="BA1196" s="4"/>
      <c r="BB1196" s="3"/>
      <c r="BC1196" s="3"/>
      <c r="BD1196" s="3"/>
      <c r="BE1196" s="4"/>
      <c r="BF1196" s="3"/>
      <c r="BG1196" s="4"/>
      <c r="BH1196" s="4"/>
      <c r="BI1196" s="3"/>
      <c r="BJ1196" s="4"/>
      <c r="BK1196" s="4"/>
      <c r="BL1196" s="4"/>
      <c r="BM1196" s="4"/>
      <c r="BN1196" s="4"/>
      <c r="BO1196" s="4"/>
      <c r="BP1196" s="4"/>
      <c r="BQ1196" s="4"/>
      <c r="BR1196" s="4"/>
      <c r="BS1196" s="4"/>
      <c r="BT1196" s="4"/>
      <c r="BU1196" s="4"/>
      <c r="BV1196" s="4"/>
      <c r="BW1196" s="4"/>
      <c r="BX1196" s="4"/>
      <c r="BY1196" s="4"/>
      <c r="BZ1196" s="4"/>
      <c r="CA1196" s="4"/>
      <c r="CB1196" s="4"/>
      <c r="CC1196" s="4"/>
      <c r="CD1196" s="4"/>
      <c r="CE1196" s="4"/>
      <c r="CF1196" s="4"/>
      <c r="CG1196" s="4"/>
      <c r="CH1196" s="4"/>
      <c r="CI1196" s="4"/>
      <c r="CJ1196" s="4"/>
      <c r="CK1196" s="4"/>
      <c r="CL1196" s="4"/>
      <c r="CM1196" s="4"/>
      <c r="CN1196" s="4"/>
      <c r="CO1196" s="4"/>
      <c r="CP1196" s="4"/>
      <c r="CQ1196" s="4"/>
      <c r="CR1196" s="4"/>
      <c r="CS1196" s="4"/>
      <c r="CT1196" s="4"/>
      <c r="CU1196" s="4"/>
      <c r="CV1196" s="3"/>
      <c r="CW1196" s="3"/>
      <c r="CX1196" s="4"/>
      <c r="CY1196" s="4"/>
      <c r="CZ1196" s="4"/>
      <c r="DA1196" s="4"/>
      <c r="DB1196" s="4"/>
      <c r="DC1196" s="4"/>
      <c r="DD1196" s="4"/>
      <c r="DE1196" s="4"/>
      <c r="DF1196" s="4"/>
      <c r="DG1196" s="4"/>
      <c r="DH1196" s="4"/>
      <c r="DI1196" s="4"/>
      <c r="DJ1196" s="4"/>
      <c r="DK1196" s="4"/>
      <c r="DL1196" s="4"/>
      <c r="DM1196" s="4"/>
      <c r="DN1196" s="4"/>
      <c r="DO1196" s="4"/>
      <c r="DP1196" s="4"/>
      <c r="DQ1196" s="4"/>
      <c r="DR1196" s="4"/>
      <c r="DS1196" s="4"/>
      <c r="DT1196" s="4"/>
      <c r="DU1196" s="4"/>
      <c r="DV1196" s="4"/>
      <c r="DW1196" s="4"/>
      <c r="DX1196" s="4"/>
      <c r="DY1196" s="4"/>
      <c r="DZ1196" s="4"/>
      <c r="EA1196" s="4"/>
      <c r="EB1196" s="4"/>
      <c r="EC1196" s="4"/>
      <c r="ED1196" s="4"/>
      <c r="EE1196" s="4"/>
      <c r="EF1196" s="4"/>
      <c r="EG1196" s="4"/>
      <c r="EH1196" s="4"/>
      <c r="EI1196" s="4"/>
    </row>
    <row r="1197" spans="1:151" hidden="1">
      <c r="A1197" s="11" t="s">
        <v>9940</v>
      </c>
      <c r="B1197" s="3" t="s">
        <v>8373</v>
      </c>
      <c r="C1197" s="3">
        <v>2016</v>
      </c>
      <c r="D1197" s="3" t="s">
        <v>3779</v>
      </c>
      <c r="E1197" s="3" t="s">
        <v>9277</v>
      </c>
      <c r="F1197" s="3">
        <v>1</v>
      </c>
      <c r="G1197" s="3"/>
      <c r="H1197" s="3" t="s">
        <v>3783</v>
      </c>
      <c r="I1197" s="3"/>
      <c r="J1197" s="3"/>
      <c r="K1197" s="3" t="s">
        <v>40</v>
      </c>
      <c r="L1197" s="4"/>
      <c r="M1197" s="3" t="s">
        <v>8500</v>
      </c>
      <c r="T1197" s="3" t="s">
        <v>3781</v>
      </c>
      <c r="V1197" s="3"/>
      <c r="W1197" s="3"/>
      <c r="X1197" s="5" t="s">
        <v>3784</v>
      </c>
      <c r="Y1197" s="5"/>
      <c r="Z1197" s="3">
        <v>0</v>
      </c>
      <c r="AA1197" s="3" t="s">
        <v>9178</v>
      </c>
      <c r="AB1197" s="4"/>
      <c r="AE1197" s="3"/>
      <c r="AF1197" s="4"/>
      <c r="AG1197" s="4"/>
      <c r="AH1197" s="4"/>
      <c r="AI1197" s="4"/>
      <c r="AJ1197" s="4"/>
      <c r="AK1197" s="3"/>
      <c r="AL1197" s="3"/>
      <c r="AM1197" s="3"/>
      <c r="AN1197" s="3"/>
      <c r="AO1197" s="4"/>
      <c r="AP1197" s="3"/>
      <c r="AQ1197" s="4"/>
      <c r="AR1197" s="3"/>
      <c r="AS1197" s="3"/>
      <c r="AT1197" s="4"/>
      <c r="AU1197" s="3"/>
      <c r="AV1197" s="4"/>
      <c r="AW1197" s="4"/>
      <c r="AX1197" s="4"/>
      <c r="AY1197" s="4"/>
      <c r="AZ1197" s="4"/>
      <c r="BA1197" s="4"/>
      <c r="BB1197" s="4"/>
      <c r="BC1197" s="4"/>
      <c r="BD1197" s="4"/>
      <c r="BE1197" s="4"/>
      <c r="BF1197" s="3"/>
      <c r="BG1197" s="3"/>
      <c r="BH1197" s="3"/>
      <c r="BI1197" s="4"/>
      <c r="BJ1197" s="3"/>
      <c r="BK1197" s="4"/>
      <c r="BL1197" s="4"/>
      <c r="BM1197" s="4"/>
      <c r="BN1197" s="3"/>
      <c r="BO1197" s="4"/>
      <c r="BP1197" s="4"/>
      <c r="BQ1197" s="4"/>
      <c r="BR1197" s="4"/>
      <c r="BS1197" s="4"/>
      <c r="BT1197" s="4"/>
      <c r="BU1197" s="4"/>
      <c r="BV1197" s="4"/>
      <c r="BW1197" s="4"/>
      <c r="BX1197" s="4"/>
      <c r="BY1197" s="4"/>
      <c r="BZ1197" s="4"/>
      <c r="CA1197" s="4"/>
      <c r="CB1197" s="4"/>
      <c r="CC1197" s="4"/>
      <c r="CD1197" s="4"/>
      <c r="CE1197" s="4"/>
      <c r="CF1197" s="4"/>
      <c r="CG1197" s="4"/>
      <c r="CH1197" s="4"/>
      <c r="CI1197" s="4"/>
      <c r="CJ1197" s="4"/>
      <c r="CK1197" s="4"/>
      <c r="CL1197" s="4"/>
      <c r="CM1197" s="4"/>
      <c r="CN1197" s="4"/>
      <c r="CO1197" s="4"/>
      <c r="CP1197" s="4"/>
      <c r="CQ1197" s="4"/>
      <c r="CR1197" s="4"/>
      <c r="CS1197" s="4"/>
      <c r="CT1197" s="4"/>
      <c r="CU1197" s="4"/>
      <c r="CV1197" s="4"/>
      <c r="CW1197" s="4"/>
      <c r="CX1197" s="4"/>
      <c r="CY1197" s="4"/>
      <c r="CZ1197" s="4"/>
      <c r="DA1197" s="4"/>
      <c r="DB1197" s="4"/>
      <c r="DC1197" s="4"/>
      <c r="DD1197" s="4"/>
      <c r="DE1197" s="3"/>
      <c r="DF1197" s="3"/>
      <c r="DG1197" s="4"/>
      <c r="DH1197" s="4"/>
      <c r="DI1197" s="4"/>
      <c r="DJ1197" s="4"/>
      <c r="DK1197" s="4"/>
      <c r="DL1197" s="4"/>
      <c r="DM1197" s="4"/>
      <c r="DN1197" s="4"/>
      <c r="DO1197" s="4"/>
      <c r="DP1197" s="4"/>
      <c r="DQ1197" s="4"/>
      <c r="DR1197" s="4"/>
      <c r="DS1197" s="4"/>
      <c r="DT1197" s="4"/>
      <c r="DU1197" s="4"/>
      <c r="DV1197" s="4"/>
      <c r="DW1197" s="4"/>
      <c r="DX1197" s="4"/>
      <c r="DY1197" s="4"/>
      <c r="DZ1197" s="4"/>
      <c r="EA1197" s="4"/>
      <c r="EB1197" s="4"/>
      <c r="EC1197" s="4"/>
      <c r="ED1197" s="4"/>
      <c r="EE1197" s="4"/>
      <c r="EF1197" s="4"/>
      <c r="EG1197" s="4"/>
      <c r="EH1197" s="4"/>
      <c r="EI1197" s="4"/>
      <c r="EJ1197" s="4"/>
      <c r="EK1197" s="4"/>
      <c r="EL1197" s="4"/>
      <c r="EM1197" s="4"/>
      <c r="EN1197" s="4"/>
      <c r="EO1197" s="4"/>
      <c r="EP1197" s="4"/>
      <c r="EQ1197" s="4"/>
      <c r="ER1197" s="4"/>
    </row>
    <row r="1198" spans="1:151" hidden="1">
      <c r="A1198" s="11" t="s">
        <v>9940</v>
      </c>
      <c r="B1198" s="3" t="s">
        <v>8373</v>
      </c>
      <c r="C1198" s="3">
        <v>2017</v>
      </c>
      <c r="D1198" s="3" t="s">
        <v>4495</v>
      </c>
      <c r="E1198" s="3" t="s">
        <v>8508</v>
      </c>
      <c r="F1198" s="3">
        <v>1</v>
      </c>
      <c r="G1198" s="3"/>
      <c r="H1198" s="3" t="s">
        <v>4499</v>
      </c>
      <c r="I1198" s="3"/>
      <c r="J1198" s="3"/>
      <c r="K1198" s="3" t="s">
        <v>197</v>
      </c>
      <c r="L1198" s="4"/>
      <c r="M1198" s="3" t="s">
        <v>8509</v>
      </c>
      <c r="T1198" s="3" t="s">
        <v>4497</v>
      </c>
      <c r="V1198" s="3"/>
      <c r="W1198" s="4"/>
      <c r="X1198" s="5" t="s">
        <v>4500</v>
      </c>
      <c r="Y1198" s="5"/>
      <c r="Z1198" s="3">
        <v>1</v>
      </c>
      <c r="AA1198" s="4"/>
      <c r="AB1198" s="4"/>
      <c r="AE1198" s="3"/>
      <c r="AF1198" s="3"/>
      <c r="AG1198" s="4"/>
      <c r="AH1198" s="4"/>
      <c r="AI1198" s="4"/>
      <c r="AJ1198" s="4"/>
      <c r="AK1198" s="3"/>
      <c r="AL1198" s="3"/>
      <c r="AM1198" s="3"/>
      <c r="AN1198" s="3"/>
      <c r="AO1198" s="4"/>
      <c r="AP1198" s="3"/>
      <c r="AQ1198" s="4"/>
      <c r="AR1198" s="3"/>
      <c r="AS1198" s="3"/>
      <c r="AT1198" s="4"/>
      <c r="AU1198" s="3"/>
      <c r="AV1198" s="4"/>
      <c r="AW1198" s="4"/>
      <c r="AX1198" s="4"/>
      <c r="AY1198" s="4"/>
      <c r="AZ1198" s="4"/>
      <c r="BA1198" s="4"/>
      <c r="BB1198" s="4"/>
      <c r="BC1198" s="4"/>
      <c r="BD1198" s="4"/>
      <c r="BE1198" s="4"/>
      <c r="BF1198" s="3"/>
      <c r="BG1198" s="3"/>
      <c r="BH1198" s="3"/>
      <c r="BI1198" s="4"/>
      <c r="BJ1198" s="3"/>
      <c r="BK1198" s="4"/>
      <c r="BL1198" s="4"/>
      <c r="BM1198" s="3"/>
      <c r="BN1198" s="4"/>
      <c r="BO1198" s="4"/>
      <c r="BP1198" s="4"/>
      <c r="BQ1198" s="4"/>
      <c r="BR1198" s="4"/>
      <c r="BS1198" s="4"/>
      <c r="BT1198" s="4"/>
      <c r="BU1198" s="4"/>
      <c r="BV1198" s="4"/>
      <c r="BW1198" s="4"/>
      <c r="BX1198" s="4"/>
      <c r="BY1198" s="4"/>
      <c r="BZ1198" s="4"/>
      <c r="CA1198" s="4"/>
      <c r="CB1198" s="4"/>
      <c r="CC1198" s="4"/>
      <c r="CD1198" s="4"/>
      <c r="CE1198" s="4"/>
      <c r="CF1198" s="4"/>
      <c r="CG1198" s="4"/>
      <c r="CH1198" s="4"/>
      <c r="CI1198" s="4"/>
      <c r="CJ1198" s="4"/>
      <c r="CK1198" s="4"/>
      <c r="CL1198" s="4"/>
      <c r="CM1198" s="4"/>
      <c r="CN1198" s="4"/>
      <c r="CO1198" s="4"/>
      <c r="CP1198" s="4"/>
      <c r="CQ1198" s="4"/>
      <c r="CR1198" s="4"/>
      <c r="CS1198" s="4"/>
      <c r="CT1198" s="4"/>
      <c r="CU1198" s="4"/>
      <c r="CV1198" s="4"/>
      <c r="CW1198" s="4"/>
      <c r="CX1198" s="4"/>
      <c r="CY1198" s="4"/>
      <c r="CZ1198" s="4"/>
      <c r="DA1198" s="4"/>
      <c r="DB1198" s="4"/>
      <c r="DC1198" s="4"/>
      <c r="DD1198" s="4"/>
      <c r="DE1198" s="4"/>
      <c r="DF1198" s="3"/>
      <c r="DG1198" s="3"/>
      <c r="DH1198" s="8"/>
      <c r="DI1198" s="4"/>
      <c r="DJ1198" s="4"/>
      <c r="DK1198" s="4"/>
      <c r="DL1198" s="4"/>
      <c r="DM1198" s="8"/>
      <c r="DN1198" s="8"/>
      <c r="DO1198" s="8"/>
      <c r="DP1198" s="8"/>
      <c r="DQ1198" s="4"/>
      <c r="DR1198" s="4"/>
      <c r="DS1198" s="4"/>
      <c r="DT1198" s="4"/>
      <c r="DU1198" s="4"/>
      <c r="DV1198" s="4"/>
      <c r="DW1198" s="4"/>
      <c r="DX1198" s="4"/>
      <c r="DY1198" s="4"/>
      <c r="DZ1198" s="4"/>
      <c r="EA1198" s="4"/>
      <c r="EB1198" s="4"/>
      <c r="EC1198" s="4"/>
      <c r="ED1198" s="4"/>
      <c r="EE1198" s="4"/>
      <c r="EF1198" s="4"/>
      <c r="EG1198" s="4"/>
      <c r="EH1198" s="4"/>
      <c r="EI1198" s="4"/>
      <c r="EJ1198" s="4"/>
      <c r="EK1198" s="8"/>
      <c r="EL1198" s="8"/>
      <c r="EM1198" s="8"/>
      <c r="EN1198" s="8"/>
      <c r="EO1198" s="8"/>
      <c r="EP1198" s="8"/>
      <c r="EQ1198" s="4"/>
      <c r="ER1198" s="4"/>
      <c r="ES1198" s="4"/>
    </row>
    <row r="1199" spans="1:151" hidden="1">
      <c r="A1199" s="11" t="s">
        <v>9940</v>
      </c>
      <c r="B1199" s="3" t="s">
        <v>8373</v>
      </c>
      <c r="C1199" s="3">
        <v>2017</v>
      </c>
      <c r="D1199" s="3" t="s">
        <v>633</v>
      </c>
      <c r="E1199" s="3" t="s">
        <v>8510</v>
      </c>
      <c r="F1199" s="3">
        <v>1</v>
      </c>
      <c r="G1199" s="3"/>
      <c r="H1199" s="3" t="s">
        <v>8512</v>
      </c>
      <c r="I1199" s="3"/>
      <c r="J1199" s="3"/>
      <c r="K1199" s="3" t="s">
        <v>93</v>
      </c>
      <c r="L1199" s="4"/>
      <c r="M1199" s="3" t="s">
        <v>8511</v>
      </c>
      <c r="T1199" s="3" t="s">
        <v>635</v>
      </c>
      <c r="V1199" s="3"/>
      <c r="W1199" s="4"/>
      <c r="X1199" s="5" t="s">
        <v>638</v>
      </c>
      <c r="Y1199" s="5"/>
      <c r="Z1199" s="3">
        <v>1</v>
      </c>
      <c r="AA1199" s="4"/>
      <c r="AB1199" s="4"/>
      <c r="AE1199" s="3"/>
      <c r="AF1199" s="3"/>
      <c r="AG1199" s="4"/>
      <c r="AH1199" s="4"/>
      <c r="AI1199" s="4"/>
      <c r="AJ1199" s="4"/>
      <c r="AK1199" s="3"/>
      <c r="AL1199" s="3"/>
      <c r="AM1199" s="3"/>
      <c r="AN1199" s="3"/>
      <c r="AO1199" s="4"/>
      <c r="AP1199" s="3"/>
      <c r="AQ1199" s="4"/>
      <c r="AR1199" s="3"/>
      <c r="AS1199" s="3"/>
      <c r="AT1199" s="4"/>
      <c r="AU1199" s="3"/>
      <c r="AV1199" s="4"/>
      <c r="AW1199" s="4"/>
      <c r="AX1199" s="4"/>
      <c r="AY1199" s="4"/>
      <c r="AZ1199" s="4"/>
      <c r="BA1199" s="4"/>
      <c r="BB1199" s="4"/>
      <c r="BC1199" s="4"/>
      <c r="BD1199" s="4"/>
      <c r="BE1199" s="4"/>
      <c r="BF1199" s="3"/>
      <c r="BG1199" s="3"/>
      <c r="BH1199" s="3"/>
      <c r="BI1199" s="4"/>
      <c r="BJ1199" s="3"/>
      <c r="BK1199" s="4"/>
      <c r="BL1199" s="4"/>
      <c r="BM1199" s="3"/>
      <c r="BN1199" s="4"/>
      <c r="BO1199" s="4"/>
      <c r="BP1199" s="4"/>
      <c r="BQ1199" s="4"/>
      <c r="BR1199" s="4"/>
      <c r="BS1199" s="4"/>
      <c r="BT1199" s="4"/>
      <c r="BU1199" s="4"/>
      <c r="BV1199" s="4"/>
      <c r="BW1199" s="4"/>
      <c r="BX1199" s="4"/>
      <c r="BY1199" s="4"/>
      <c r="BZ1199" s="4"/>
      <c r="CA1199" s="4"/>
      <c r="CB1199" s="4"/>
      <c r="CC1199" s="4"/>
      <c r="CD1199" s="4"/>
      <c r="CE1199" s="4"/>
      <c r="CF1199" s="4"/>
      <c r="CG1199" s="4"/>
      <c r="CH1199" s="4"/>
      <c r="CI1199" s="4"/>
      <c r="CJ1199" s="4"/>
      <c r="CK1199" s="4"/>
      <c r="CL1199" s="4"/>
      <c r="CM1199" s="4"/>
      <c r="CN1199" s="4"/>
      <c r="CO1199" s="4"/>
      <c r="CP1199" s="4"/>
      <c r="CQ1199" s="4"/>
      <c r="CR1199" s="4"/>
      <c r="CS1199" s="4"/>
      <c r="CT1199" s="4"/>
      <c r="CU1199" s="4"/>
      <c r="CV1199" s="4"/>
      <c r="CW1199" s="4"/>
      <c r="CX1199" s="4"/>
      <c r="CY1199" s="4"/>
      <c r="CZ1199" s="4"/>
      <c r="DA1199" s="4"/>
      <c r="DB1199" s="4"/>
      <c r="DC1199" s="4"/>
      <c r="DD1199" s="4"/>
      <c r="DE1199" s="4"/>
      <c r="DF1199" s="3"/>
      <c r="DG1199" s="3"/>
      <c r="DH1199" s="8"/>
      <c r="DI1199" s="4"/>
      <c r="DJ1199" s="4"/>
      <c r="DK1199" s="4"/>
      <c r="DL1199" s="4"/>
      <c r="DM1199" s="8"/>
      <c r="DN1199" s="8"/>
      <c r="DO1199" s="8"/>
      <c r="DP1199" s="8"/>
      <c r="DQ1199" s="4"/>
      <c r="DR1199" s="4"/>
      <c r="DS1199" s="4"/>
      <c r="DT1199" s="4"/>
      <c r="DU1199" s="4"/>
      <c r="DV1199" s="4"/>
      <c r="DW1199" s="4"/>
      <c r="DX1199" s="4"/>
      <c r="DY1199" s="4"/>
      <c r="DZ1199" s="4"/>
      <c r="EA1199" s="4"/>
      <c r="EB1199" s="4"/>
      <c r="EC1199" s="4"/>
      <c r="ED1199" s="4"/>
      <c r="EE1199" s="4"/>
      <c r="EF1199" s="4"/>
      <c r="EG1199" s="4"/>
      <c r="EH1199" s="4"/>
      <c r="EI1199" s="4"/>
      <c r="EJ1199" s="4"/>
      <c r="EK1199" s="8"/>
      <c r="EL1199" s="8"/>
      <c r="EM1199" s="8"/>
      <c r="EN1199" s="8"/>
      <c r="EO1199" s="8"/>
      <c r="EP1199" s="8"/>
      <c r="EQ1199" s="4"/>
      <c r="ER1199" s="4"/>
      <c r="ES1199" s="4"/>
    </row>
    <row r="1200" spans="1:151" hidden="1">
      <c r="A1200" s="11" t="s">
        <v>9940</v>
      </c>
      <c r="B1200" s="3" t="s">
        <v>8373</v>
      </c>
      <c r="C1200" s="3">
        <v>2017</v>
      </c>
      <c r="D1200" s="3" t="s">
        <v>8513</v>
      </c>
      <c r="E1200" s="3" t="s">
        <v>8514</v>
      </c>
      <c r="F1200" s="3">
        <v>1</v>
      </c>
      <c r="G1200" s="3"/>
      <c r="H1200" s="3" t="s">
        <v>7990</v>
      </c>
      <c r="I1200" s="3"/>
      <c r="J1200" s="3"/>
      <c r="K1200" s="3" t="s">
        <v>252</v>
      </c>
      <c r="L1200" s="4"/>
      <c r="M1200" s="3" t="s">
        <v>8427</v>
      </c>
      <c r="T1200" s="3" t="s">
        <v>7988</v>
      </c>
      <c r="V1200" s="3"/>
      <c r="W1200" s="4"/>
      <c r="X1200" s="5" t="s">
        <v>7991</v>
      </c>
      <c r="Y1200" s="5"/>
      <c r="Z1200" s="3">
        <v>1</v>
      </c>
      <c r="AA1200" s="4"/>
      <c r="AB1200" s="4"/>
      <c r="AE1200" s="3"/>
      <c r="AF1200" s="3"/>
      <c r="AG1200" s="4"/>
      <c r="AH1200" s="4"/>
      <c r="AI1200" s="4"/>
      <c r="AJ1200" s="4"/>
      <c r="AK1200" s="3"/>
      <c r="AL1200" s="3"/>
      <c r="AM1200" s="3"/>
      <c r="AN1200" s="3"/>
      <c r="AO1200" s="4"/>
      <c r="AP1200" s="3"/>
      <c r="AQ1200" s="4"/>
      <c r="AR1200" s="3"/>
      <c r="AS1200" s="3"/>
      <c r="AT1200" s="4"/>
      <c r="AU1200" s="3"/>
      <c r="AV1200" s="4"/>
      <c r="AW1200" s="4"/>
      <c r="AX1200" s="4"/>
      <c r="AY1200" s="4"/>
      <c r="AZ1200" s="4"/>
      <c r="BA1200" s="4"/>
      <c r="BB1200" s="4"/>
      <c r="BC1200" s="4"/>
      <c r="BD1200" s="4"/>
      <c r="BE1200" s="4"/>
      <c r="BF1200" s="3"/>
      <c r="BG1200" s="3"/>
      <c r="BH1200" s="3"/>
      <c r="BI1200" s="4"/>
      <c r="BJ1200" s="3"/>
      <c r="BK1200" s="4"/>
      <c r="BL1200" s="4"/>
      <c r="BM1200" s="3"/>
      <c r="BN1200" s="4"/>
      <c r="BO1200" s="4"/>
      <c r="BP1200" s="4"/>
      <c r="BQ1200" s="4"/>
      <c r="BR1200" s="4"/>
      <c r="BS1200" s="4"/>
      <c r="BT1200" s="4"/>
      <c r="BU1200" s="4"/>
      <c r="BV1200" s="4"/>
      <c r="BW1200" s="4"/>
      <c r="BX1200" s="4"/>
      <c r="BY1200" s="4"/>
      <c r="BZ1200" s="4"/>
      <c r="CA1200" s="4"/>
      <c r="CB1200" s="4"/>
      <c r="CC1200" s="4"/>
      <c r="CD1200" s="4"/>
      <c r="CE1200" s="4"/>
      <c r="CF1200" s="4"/>
      <c r="CG1200" s="4"/>
      <c r="CH1200" s="4"/>
      <c r="CI1200" s="4"/>
      <c r="CJ1200" s="4"/>
      <c r="CK1200" s="4"/>
      <c r="CL1200" s="4"/>
      <c r="CM1200" s="4"/>
      <c r="CN1200" s="4"/>
      <c r="CO1200" s="4"/>
      <c r="CP1200" s="4"/>
      <c r="CQ1200" s="4"/>
      <c r="CR1200" s="4"/>
      <c r="CS1200" s="4"/>
      <c r="CT1200" s="4"/>
      <c r="CU1200" s="4"/>
      <c r="CV1200" s="4"/>
      <c r="CW1200" s="4"/>
      <c r="CX1200" s="4"/>
      <c r="CY1200" s="4"/>
      <c r="CZ1200" s="4"/>
      <c r="DA1200" s="4"/>
      <c r="DB1200" s="4"/>
      <c r="DC1200" s="4"/>
      <c r="DD1200" s="4"/>
      <c r="DE1200" s="4"/>
      <c r="DF1200" s="4"/>
      <c r="DG1200" s="4"/>
      <c r="DH1200" s="3"/>
      <c r="DI1200" s="3"/>
      <c r="DJ1200" s="8"/>
      <c r="DK1200" s="4"/>
      <c r="DL1200" s="4"/>
      <c r="DM1200" s="4"/>
      <c r="DN1200" s="4"/>
      <c r="DO1200" s="8"/>
      <c r="DP1200" s="8"/>
      <c r="DQ1200" s="8"/>
      <c r="DR1200" s="8"/>
      <c r="DS1200" s="4"/>
      <c r="DT1200" s="4"/>
      <c r="DU1200" s="4"/>
      <c r="DV1200" s="4"/>
      <c r="DW1200" s="4"/>
      <c r="DX1200" s="4"/>
      <c r="DY1200" s="4"/>
      <c r="DZ1200" s="4"/>
      <c r="EA1200" s="4"/>
      <c r="EB1200" s="4"/>
      <c r="EC1200" s="4"/>
      <c r="ED1200" s="4"/>
      <c r="EE1200" s="4"/>
      <c r="EF1200" s="4"/>
      <c r="EG1200" s="4"/>
      <c r="EH1200" s="4"/>
      <c r="EI1200" s="4"/>
      <c r="EJ1200" s="4"/>
      <c r="EK1200" s="4"/>
      <c r="EL1200" s="4"/>
      <c r="EM1200" s="8"/>
      <c r="EN1200" s="8"/>
      <c r="EO1200" s="8"/>
      <c r="EP1200" s="8"/>
      <c r="EQ1200" s="8"/>
      <c r="ER1200" s="8"/>
      <c r="ES1200" s="4"/>
      <c r="ET1200" s="4"/>
      <c r="EU1200" s="4"/>
    </row>
    <row r="1201" spans="1:149" hidden="1">
      <c r="A1201" s="11" t="s">
        <v>9940</v>
      </c>
      <c r="B1201" s="3" t="s">
        <v>8379</v>
      </c>
      <c r="C1201" s="3">
        <v>2017</v>
      </c>
      <c r="D1201" s="3" t="s">
        <v>8515</v>
      </c>
      <c r="E1201" s="3" t="s">
        <v>8516</v>
      </c>
      <c r="F1201" s="3">
        <v>1</v>
      </c>
      <c r="G1201" s="4"/>
      <c r="H1201" s="3" t="s">
        <v>8518</v>
      </c>
      <c r="I1201" s="3"/>
      <c r="J1201" s="3"/>
      <c r="K1201" s="4"/>
      <c r="L1201" s="4"/>
      <c r="M1201" s="4"/>
      <c r="T1201" s="4"/>
      <c r="V1201" s="3"/>
      <c r="W1201" s="4"/>
      <c r="X1201" s="5" t="s">
        <v>8517</v>
      </c>
      <c r="Y1201" s="5"/>
      <c r="Z1201" s="3">
        <v>1</v>
      </c>
      <c r="AA1201" s="4"/>
      <c r="AB1201" s="4"/>
      <c r="AE1201" s="3"/>
      <c r="AF1201" s="3"/>
      <c r="AG1201" s="3"/>
      <c r="AH1201" s="4"/>
      <c r="AI1201" s="4"/>
      <c r="AJ1201" s="4"/>
      <c r="AK1201" s="3"/>
      <c r="AL1201" s="3"/>
      <c r="AM1201" s="3"/>
      <c r="AN1201" s="3"/>
      <c r="AO1201" s="4"/>
      <c r="AP1201" s="4"/>
      <c r="AQ1201" s="4"/>
      <c r="AR1201" s="4"/>
      <c r="AS1201" s="4"/>
      <c r="AT1201" s="4"/>
      <c r="AU1201" s="4"/>
      <c r="AV1201" s="4"/>
      <c r="AW1201" s="4"/>
      <c r="AX1201" s="4"/>
      <c r="AY1201" s="4"/>
      <c r="AZ1201" s="4"/>
      <c r="BA1201" s="3"/>
      <c r="BB1201" s="4"/>
      <c r="BC1201" s="3"/>
      <c r="BD1201" s="3"/>
      <c r="BE1201" s="3"/>
      <c r="BF1201" s="4"/>
      <c r="BG1201" s="3"/>
      <c r="BH1201" s="3"/>
      <c r="BI1201" s="4"/>
      <c r="BJ1201" s="4"/>
      <c r="BK1201" s="4"/>
      <c r="BL1201" s="4"/>
      <c r="BM1201" s="4"/>
      <c r="BN1201" s="4"/>
      <c r="BO1201" s="4"/>
      <c r="BP1201" s="4"/>
      <c r="BQ1201" s="4"/>
      <c r="BR1201" s="4"/>
      <c r="BS1201" s="4"/>
      <c r="BT1201" s="4"/>
      <c r="BU1201" s="4"/>
      <c r="BV1201" s="4"/>
      <c r="BW1201" s="4"/>
      <c r="BX1201" s="4"/>
      <c r="BY1201" s="4"/>
      <c r="BZ1201" s="4"/>
      <c r="CA1201" s="4"/>
      <c r="CB1201" s="4"/>
      <c r="CC1201" s="4"/>
      <c r="CD1201" s="4"/>
      <c r="CE1201" s="4"/>
      <c r="CF1201" s="4"/>
      <c r="CG1201" s="4"/>
      <c r="CH1201" s="4"/>
      <c r="CI1201" s="4"/>
      <c r="CJ1201" s="4"/>
      <c r="CK1201" s="4"/>
      <c r="CL1201" s="4"/>
      <c r="CM1201" s="4"/>
      <c r="CN1201" s="4"/>
      <c r="CO1201" s="4"/>
      <c r="CP1201" s="4"/>
      <c r="CQ1201" s="4"/>
      <c r="CR1201" s="4"/>
      <c r="CS1201" s="4"/>
      <c r="CT1201" s="4"/>
      <c r="CU1201" s="4"/>
      <c r="CV1201" s="4"/>
      <c r="CW1201" s="4"/>
      <c r="CX1201" s="4"/>
      <c r="CY1201" s="4"/>
      <c r="CZ1201" s="4"/>
      <c r="DA1201" s="3"/>
      <c r="DB1201" s="3"/>
      <c r="DC1201" s="3"/>
      <c r="DD1201" s="4"/>
      <c r="DE1201" s="4"/>
      <c r="DF1201" s="4"/>
      <c r="DG1201" s="4"/>
      <c r="DH1201" s="8"/>
      <c r="DI1201" s="8"/>
      <c r="DJ1201" s="8"/>
      <c r="DK1201" s="8"/>
      <c r="DL1201" s="4"/>
      <c r="DM1201" s="4"/>
      <c r="DN1201" s="4"/>
      <c r="DO1201" s="4"/>
      <c r="DP1201" s="4"/>
      <c r="DQ1201" s="4"/>
      <c r="DR1201" s="4"/>
      <c r="DS1201" s="4"/>
      <c r="DT1201" s="4"/>
      <c r="DU1201" s="4"/>
      <c r="DV1201" s="4"/>
      <c r="DW1201" s="4"/>
      <c r="DX1201" s="4"/>
      <c r="DY1201" s="4"/>
      <c r="DZ1201" s="4"/>
      <c r="EA1201" s="4"/>
      <c r="EB1201" s="4"/>
      <c r="EC1201" s="4"/>
      <c r="ED1201" s="4"/>
      <c r="EE1201" s="4"/>
      <c r="EF1201" s="8"/>
      <c r="EG1201" s="3"/>
      <c r="EH1201" s="3"/>
      <c r="EI1201" s="3"/>
      <c r="EJ1201" s="3"/>
      <c r="EK1201" s="3"/>
      <c r="EL1201" s="4"/>
      <c r="EM1201" s="4"/>
      <c r="EN1201" s="3"/>
    </row>
    <row r="1202" spans="1:149" hidden="1">
      <c r="A1202" s="11" t="s">
        <v>9940</v>
      </c>
      <c r="B1202" s="3" t="s">
        <v>8373</v>
      </c>
      <c r="C1202" s="3">
        <v>2015</v>
      </c>
      <c r="D1202" s="3" t="s">
        <v>5774</v>
      </c>
      <c r="E1202" s="3" t="s">
        <v>8519</v>
      </c>
      <c r="F1202" s="3">
        <v>1</v>
      </c>
      <c r="G1202" s="3"/>
      <c r="H1202" s="3" t="s">
        <v>8521</v>
      </c>
      <c r="I1202" s="3"/>
      <c r="J1202" s="3"/>
      <c r="K1202" s="3" t="s">
        <v>5775</v>
      </c>
      <c r="L1202" s="4"/>
      <c r="M1202" s="3" t="s">
        <v>8520</v>
      </c>
      <c r="T1202" s="3" t="s">
        <v>5777</v>
      </c>
      <c r="V1202" s="3"/>
      <c r="W1202" s="4"/>
      <c r="X1202" s="5" t="s">
        <v>5780</v>
      </c>
      <c r="Y1202" s="5"/>
      <c r="Z1202" s="3">
        <v>1</v>
      </c>
      <c r="AA1202" s="4"/>
      <c r="AB1202" s="4"/>
      <c r="AE1202" s="3"/>
      <c r="AF1202" s="3"/>
      <c r="AG1202" s="4"/>
      <c r="AH1202" s="4"/>
      <c r="AI1202" s="4"/>
      <c r="AJ1202" s="4"/>
      <c r="AK1202" s="3"/>
      <c r="AL1202" s="3"/>
      <c r="AM1202" s="3"/>
      <c r="AN1202" s="3"/>
      <c r="AO1202" s="4"/>
      <c r="AP1202" s="3"/>
      <c r="AQ1202" s="4"/>
      <c r="AR1202" s="3"/>
      <c r="AS1202" s="3"/>
      <c r="AT1202" s="4"/>
      <c r="AU1202" s="3"/>
      <c r="AV1202" s="4"/>
      <c r="AW1202" s="4"/>
      <c r="AX1202" s="4"/>
      <c r="AY1202" s="4"/>
      <c r="AZ1202" s="4"/>
      <c r="BA1202" s="4"/>
      <c r="BB1202" s="4"/>
      <c r="BC1202" s="4"/>
      <c r="BD1202" s="4"/>
      <c r="BE1202" s="4"/>
      <c r="BF1202" s="3"/>
      <c r="BG1202" s="3"/>
      <c r="BH1202" s="3"/>
      <c r="BI1202" s="4"/>
      <c r="BJ1202" s="3"/>
      <c r="BK1202" s="4"/>
      <c r="BL1202" s="4"/>
      <c r="BM1202" s="3"/>
      <c r="BN1202" s="4"/>
      <c r="BO1202" s="4"/>
      <c r="BP1202" s="4"/>
      <c r="BQ1202" s="4"/>
      <c r="BR1202" s="4"/>
      <c r="BS1202" s="4"/>
      <c r="BT1202" s="4"/>
      <c r="BU1202" s="4"/>
      <c r="BV1202" s="4"/>
      <c r="BW1202" s="4"/>
      <c r="BX1202" s="4"/>
      <c r="BY1202" s="4"/>
      <c r="BZ1202" s="4"/>
      <c r="CA1202" s="4"/>
      <c r="CB1202" s="4"/>
      <c r="CC1202" s="4"/>
      <c r="CD1202" s="4"/>
      <c r="CE1202" s="4"/>
      <c r="CF1202" s="4"/>
      <c r="CG1202" s="4"/>
      <c r="CH1202" s="4"/>
      <c r="CI1202" s="4"/>
      <c r="CJ1202" s="4"/>
      <c r="CK1202" s="4"/>
      <c r="CL1202" s="4"/>
      <c r="CM1202" s="4"/>
      <c r="CN1202" s="4"/>
      <c r="CO1202" s="4"/>
      <c r="CP1202" s="4"/>
      <c r="CQ1202" s="4"/>
      <c r="CR1202" s="4"/>
      <c r="CS1202" s="4"/>
      <c r="CT1202" s="4"/>
      <c r="CU1202" s="4"/>
      <c r="CV1202" s="4"/>
      <c r="CW1202" s="4"/>
      <c r="CX1202" s="4"/>
      <c r="CY1202" s="4"/>
      <c r="CZ1202" s="3"/>
      <c r="DA1202" s="3"/>
      <c r="DB1202" s="8"/>
      <c r="DC1202" s="4"/>
      <c r="DD1202" s="4"/>
      <c r="DE1202" s="4"/>
      <c r="DF1202" s="4"/>
      <c r="DG1202" s="8"/>
      <c r="DH1202" s="8"/>
      <c r="DI1202" s="8"/>
      <c r="DJ1202" s="8"/>
      <c r="DK1202" s="4"/>
      <c r="DL1202" s="4"/>
      <c r="DM1202" s="4"/>
      <c r="DN1202" s="4"/>
      <c r="DO1202" s="4"/>
      <c r="DP1202" s="4"/>
      <c r="DQ1202" s="4"/>
      <c r="DR1202" s="4"/>
      <c r="DS1202" s="4"/>
      <c r="DT1202" s="4"/>
      <c r="DU1202" s="4"/>
      <c r="DV1202" s="4"/>
      <c r="DW1202" s="4"/>
      <c r="DX1202" s="4"/>
      <c r="DY1202" s="4"/>
      <c r="DZ1202" s="4"/>
      <c r="EA1202" s="4"/>
      <c r="EB1202" s="4"/>
      <c r="EC1202" s="4"/>
      <c r="ED1202" s="4"/>
      <c r="EE1202" s="8"/>
      <c r="EF1202" s="8"/>
      <c r="EG1202" s="8"/>
      <c r="EH1202" s="8"/>
      <c r="EI1202" s="8"/>
      <c r="EJ1202" s="8"/>
      <c r="EK1202" s="4"/>
      <c r="EL1202" s="4"/>
      <c r="EM1202" s="4"/>
    </row>
    <row r="1203" spans="1:149" hidden="1">
      <c r="A1203" s="11" t="s">
        <v>9940</v>
      </c>
      <c r="B1203" s="3" t="s">
        <v>8379</v>
      </c>
      <c r="C1203" s="3">
        <v>2017</v>
      </c>
      <c r="D1203" s="3" t="s">
        <v>8522</v>
      </c>
      <c r="E1203" s="3" t="s">
        <v>8523</v>
      </c>
      <c r="F1203" s="3">
        <v>1</v>
      </c>
      <c r="G1203" s="4"/>
      <c r="H1203" s="3" t="s">
        <v>8525</v>
      </c>
      <c r="I1203" s="3"/>
      <c r="J1203" s="3"/>
      <c r="K1203" s="4"/>
      <c r="L1203" s="4"/>
      <c r="M1203" s="4"/>
      <c r="T1203" s="4"/>
      <c r="V1203" s="3"/>
      <c r="W1203" s="4"/>
      <c r="X1203" s="5" t="s">
        <v>8524</v>
      </c>
      <c r="Y1203" s="5"/>
      <c r="Z1203" s="3">
        <v>1</v>
      </c>
      <c r="AA1203" s="4"/>
      <c r="AB1203" s="4"/>
      <c r="AE1203" s="3"/>
      <c r="AF1203" s="3"/>
      <c r="AG1203" s="3"/>
      <c r="AH1203" s="4"/>
      <c r="AI1203" s="4"/>
      <c r="AJ1203" s="4"/>
      <c r="AK1203" s="3"/>
      <c r="AL1203" s="3"/>
      <c r="AM1203" s="3"/>
      <c r="AN1203" s="3"/>
      <c r="AO1203" s="4"/>
      <c r="AP1203" s="4"/>
      <c r="AQ1203" s="4"/>
      <c r="AR1203" s="4"/>
      <c r="AS1203" s="4"/>
      <c r="AT1203" s="4"/>
      <c r="AU1203" s="4"/>
      <c r="AV1203" s="4"/>
      <c r="AW1203" s="4"/>
      <c r="AX1203" s="4"/>
      <c r="AY1203" s="4"/>
      <c r="AZ1203" s="4"/>
      <c r="BA1203" s="3"/>
      <c r="BB1203" s="4"/>
      <c r="BC1203" s="3"/>
      <c r="BD1203" s="3"/>
      <c r="BE1203" s="3"/>
      <c r="BF1203" s="4"/>
      <c r="BG1203" s="3"/>
      <c r="BH1203" s="3"/>
      <c r="BI1203" s="4"/>
      <c r="BJ1203" s="4"/>
      <c r="BK1203" s="4"/>
      <c r="BL1203" s="4"/>
      <c r="BM1203" s="4"/>
      <c r="BN1203" s="4"/>
      <c r="BO1203" s="4"/>
      <c r="BP1203" s="4"/>
      <c r="BQ1203" s="4"/>
      <c r="BR1203" s="4"/>
      <c r="BS1203" s="4"/>
      <c r="BT1203" s="4"/>
      <c r="BU1203" s="4"/>
      <c r="BV1203" s="4"/>
      <c r="BW1203" s="4"/>
      <c r="BX1203" s="4"/>
      <c r="BY1203" s="4"/>
      <c r="BZ1203" s="4"/>
      <c r="CA1203" s="4"/>
      <c r="CB1203" s="4"/>
      <c r="CC1203" s="4"/>
      <c r="CD1203" s="4"/>
      <c r="CE1203" s="4"/>
      <c r="CF1203" s="4"/>
      <c r="CG1203" s="4"/>
      <c r="CH1203" s="4"/>
      <c r="CI1203" s="4"/>
      <c r="CJ1203" s="4"/>
      <c r="CK1203" s="4"/>
      <c r="CL1203" s="4"/>
      <c r="CM1203" s="4"/>
      <c r="CN1203" s="4"/>
      <c r="CO1203" s="4"/>
      <c r="CP1203" s="4"/>
      <c r="CQ1203" s="4"/>
      <c r="CR1203" s="4"/>
      <c r="CS1203" s="4"/>
      <c r="CT1203" s="4"/>
      <c r="CU1203" s="4"/>
      <c r="CV1203" s="4"/>
      <c r="CW1203" s="4"/>
      <c r="CX1203" s="4"/>
      <c r="CY1203" s="3"/>
      <c r="CZ1203" s="3"/>
      <c r="DA1203" s="3"/>
      <c r="DB1203" s="4"/>
      <c r="DC1203" s="4"/>
      <c r="DD1203" s="4"/>
      <c r="DE1203" s="4"/>
      <c r="DF1203" s="8"/>
      <c r="DG1203" s="8"/>
      <c r="DH1203" s="8"/>
      <c r="DI1203" s="8"/>
      <c r="DJ1203" s="4"/>
      <c r="DK1203" s="4"/>
      <c r="DL1203" s="4"/>
      <c r="DM1203" s="4"/>
      <c r="DN1203" s="8"/>
      <c r="DO1203" s="4"/>
      <c r="DP1203" s="4"/>
      <c r="DQ1203" s="4"/>
      <c r="DR1203" s="4"/>
      <c r="DS1203" s="4"/>
      <c r="DT1203" s="4"/>
      <c r="DU1203" s="4"/>
      <c r="DV1203" s="4"/>
      <c r="DW1203" s="4"/>
      <c r="DX1203" s="4"/>
      <c r="DY1203" s="4"/>
      <c r="DZ1203" s="4"/>
      <c r="EA1203" s="4"/>
      <c r="EB1203" s="4"/>
      <c r="EC1203" s="4"/>
      <c r="ED1203" s="8"/>
      <c r="EE1203" s="3"/>
      <c r="EF1203" s="3"/>
      <c r="EG1203" s="3"/>
      <c r="EH1203" s="3"/>
      <c r="EI1203" s="3"/>
      <c r="EJ1203" s="4"/>
      <c r="EK1203" s="4"/>
      <c r="EL1203" s="3"/>
    </row>
    <row r="1204" spans="1:149" hidden="1">
      <c r="A1204" s="11" t="s">
        <v>9940</v>
      </c>
      <c r="B1204" s="3" t="s">
        <v>8379</v>
      </c>
      <c r="C1204" s="3">
        <v>2017</v>
      </c>
      <c r="D1204" s="3" t="s">
        <v>2511</v>
      </c>
      <c r="E1204" s="3" t="s">
        <v>8526</v>
      </c>
      <c r="F1204" s="3">
        <v>1</v>
      </c>
      <c r="G1204" s="4"/>
      <c r="H1204" s="3" t="s">
        <v>2515</v>
      </c>
      <c r="I1204" s="3"/>
      <c r="J1204" s="3"/>
      <c r="K1204" s="4"/>
      <c r="L1204" s="4"/>
      <c r="M1204" s="4"/>
      <c r="T1204" s="4"/>
      <c r="V1204" s="3"/>
      <c r="W1204" s="4"/>
      <c r="X1204" s="5" t="s">
        <v>2516</v>
      </c>
      <c r="Y1204" s="5"/>
      <c r="Z1204" s="3">
        <v>1</v>
      </c>
      <c r="AA1204" s="4"/>
      <c r="AB1204" s="4"/>
      <c r="AE1204" s="3"/>
      <c r="AF1204" s="3"/>
      <c r="AG1204" s="3"/>
      <c r="AH1204" s="4"/>
      <c r="AI1204" s="4"/>
      <c r="AJ1204" s="4"/>
      <c r="AK1204" s="3"/>
      <c r="AL1204" s="3"/>
      <c r="AM1204" s="3"/>
      <c r="AN1204" s="3"/>
      <c r="AO1204" s="4"/>
      <c r="AP1204" s="4"/>
      <c r="AQ1204" s="4"/>
      <c r="AR1204" s="4"/>
      <c r="AS1204" s="4"/>
      <c r="AT1204" s="4"/>
      <c r="AU1204" s="4"/>
      <c r="AV1204" s="4"/>
      <c r="AW1204" s="4"/>
      <c r="AX1204" s="4"/>
      <c r="AY1204" s="4"/>
      <c r="AZ1204" s="4"/>
      <c r="BA1204" s="3"/>
      <c r="BB1204" s="4"/>
      <c r="BC1204" s="3"/>
      <c r="BD1204" s="3"/>
      <c r="BE1204" s="3"/>
      <c r="BF1204" s="4"/>
      <c r="BG1204" s="3"/>
      <c r="BH1204" s="3"/>
      <c r="BI1204" s="4"/>
      <c r="BJ1204" s="4"/>
      <c r="BK1204" s="4"/>
      <c r="BL1204" s="4"/>
      <c r="BM1204" s="4"/>
      <c r="BN1204" s="4"/>
      <c r="BO1204" s="4"/>
      <c r="BP1204" s="4"/>
      <c r="BQ1204" s="4"/>
      <c r="BR1204" s="4"/>
      <c r="BS1204" s="4"/>
      <c r="BT1204" s="4"/>
      <c r="BU1204" s="4"/>
      <c r="BV1204" s="4"/>
      <c r="BW1204" s="4"/>
      <c r="BX1204" s="4"/>
      <c r="BY1204" s="4"/>
      <c r="BZ1204" s="4"/>
      <c r="CA1204" s="4"/>
      <c r="CB1204" s="4"/>
      <c r="CC1204" s="4"/>
      <c r="CD1204" s="4"/>
      <c r="CE1204" s="4"/>
      <c r="CF1204" s="4"/>
      <c r="CG1204" s="4"/>
      <c r="CH1204" s="4"/>
      <c r="CI1204" s="4"/>
      <c r="CJ1204" s="4"/>
      <c r="CK1204" s="4"/>
      <c r="CL1204" s="4"/>
      <c r="CM1204" s="4"/>
      <c r="CN1204" s="4"/>
      <c r="CO1204" s="4"/>
      <c r="CP1204" s="4"/>
      <c r="CQ1204" s="4"/>
      <c r="CR1204" s="4"/>
      <c r="CS1204" s="4"/>
      <c r="CT1204" s="4"/>
      <c r="CU1204" s="4"/>
      <c r="CV1204" s="4"/>
      <c r="CW1204" s="4"/>
      <c r="CX1204" s="4"/>
      <c r="CY1204" s="4"/>
      <c r="CZ1204" s="4"/>
      <c r="DA1204" s="3"/>
      <c r="DB1204" s="3"/>
      <c r="DC1204" s="8"/>
      <c r="DD1204" s="4"/>
      <c r="DE1204" s="4"/>
      <c r="DF1204" s="4"/>
      <c r="DG1204" s="4"/>
      <c r="DH1204" s="8"/>
      <c r="DI1204" s="8"/>
      <c r="DJ1204" s="8"/>
      <c r="DK1204" s="8"/>
      <c r="DL1204" s="4"/>
      <c r="DM1204" s="4"/>
      <c r="DN1204" s="4"/>
      <c r="DO1204" s="4"/>
      <c r="DP1204" s="4"/>
      <c r="DQ1204" s="4"/>
      <c r="DR1204" s="4"/>
      <c r="DS1204" s="4"/>
      <c r="DT1204" s="4"/>
      <c r="DU1204" s="4"/>
      <c r="DV1204" s="4"/>
      <c r="DW1204" s="4"/>
      <c r="DX1204" s="4"/>
      <c r="DY1204" s="4"/>
      <c r="DZ1204" s="4"/>
      <c r="EA1204" s="4"/>
      <c r="EB1204" s="4"/>
      <c r="EC1204" s="4"/>
      <c r="ED1204" s="4"/>
      <c r="EE1204" s="4"/>
      <c r="EF1204" s="8"/>
      <c r="EG1204" s="8"/>
      <c r="EH1204" s="8"/>
      <c r="EI1204" s="8"/>
      <c r="EJ1204" s="8"/>
      <c r="EK1204" s="8"/>
      <c r="EL1204" s="4"/>
      <c r="EM1204" s="4"/>
      <c r="EN1204" s="4"/>
    </row>
    <row r="1205" spans="1:149" hidden="1">
      <c r="A1205" s="11" t="s">
        <v>9940</v>
      </c>
      <c r="B1205" s="3" t="s">
        <v>8373</v>
      </c>
      <c r="C1205" s="3">
        <v>2001</v>
      </c>
      <c r="D1205" s="3" t="s">
        <v>9278</v>
      </c>
      <c r="E1205" s="3" t="s">
        <v>9279</v>
      </c>
      <c r="F1205" s="3">
        <v>1</v>
      </c>
      <c r="G1205" s="3"/>
      <c r="H1205" s="3" t="s">
        <v>9282</v>
      </c>
      <c r="I1205" s="3"/>
      <c r="J1205" s="3"/>
      <c r="K1205" s="3" t="s">
        <v>576</v>
      </c>
      <c r="L1205" s="4"/>
      <c r="M1205" s="3" t="s">
        <v>9172</v>
      </c>
      <c r="T1205" s="3" t="s">
        <v>9280</v>
      </c>
      <c r="V1205" s="3"/>
      <c r="W1205" s="3"/>
      <c r="X1205" s="5" t="s">
        <v>9281</v>
      </c>
      <c r="Y1205" s="5"/>
      <c r="Z1205" s="3">
        <v>0</v>
      </c>
      <c r="AA1205" s="3" t="s">
        <v>9265</v>
      </c>
      <c r="AB1205" s="4"/>
      <c r="AE1205" s="3"/>
      <c r="AF1205" s="3"/>
      <c r="AG1205" s="4"/>
      <c r="AH1205" s="4"/>
      <c r="AI1205" s="4"/>
      <c r="AJ1205" s="4"/>
      <c r="AK1205" s="3"/>
      <c r="AL1205" s="3"/>
      <c r="AM1205" s="3"/>
      <c r="AN1205" s="3"/>
      <c r="AO1205" s="4"/>
      <c r="AP1205" s="3"/>
      <c r="AQ1205" s="4"/>
      <c r="AR1205" s="10"/>
      <c r="AS1205" s="3"/>
      <c r="AT1205" s="4"/>
      <c r="AU1205" s="3"/>
      <c r="AV1205" s="4"/>
      <c r="AW1205" s="4"/>
      <c r="AX1205" s="4"/>
      <c r="AY1205" s="4"/>
      <c r="AZ1205" s="4"/>
      <c r="BA1205" s="4"/>
      <c r="BB1205" s="4"/>
      <c r="BC1205" s="4"/>
      <c r="BD1205" s="4"/>
      <c r="BE1205" s="4"/>
      <c r="BF1205" s="3"/>
      <c r="BG1205" s="3"/>
      <c r="BH1205" s="3"/>
      <c r="BI1205" s="4"/>
      <c r="BJ1205" s="3"/>
      <c r="BK1205" s="4"/>
      <c r="BL1205" s="4"/>
      <c r="BM1205" s="3"/>
      <c r="BN1205" s="4"/>
      <c r="BO1205" s="4"/>
      <c r="BP1205" s="4"/>
      <c r="BQ1205" s="4"/>
      <c r="BR1205" s="4"/>
      <c r="BS1205" s="4"/>
      <c r="BT1205" s="4"/>
      <c r="BU1205" s="4"/>
      <c r="BV1205" s="4"/>
      <c r="BW1205" s="4"/>
      <c r="BX1205" s="4"/>
      <c r="BY1205" s="4"/>
      <c r="BZ1205" s="4"/>
      <c r="CA1205" s="4"/>
      <c r="CB1205" s="4"/>
      <c r="CC1205" s="4"/>
      <c r="CD1205" s="4"/>
      <c r="CE1205" s="4"/>
      <c r="CF1205" s="4"/>
      <c r="CG1205" s="4"/>
      <c r="CH1205" s="4"/>
      <c r="CI1205" s="4"/>
      <c r="CJ1205" s="4"/>
      <c r="CK1205" s="4"/>
      <c r="CL1205" s="4"/>
      <c r="CM1205" s="4"/>
      <c r="CN1205" s="4"/>
      <c r="CO1205" s="4"/>
      <c r="CP1205" s="4"/>
      <c r="CQ1205" s="4"/>
      <c r="CR1205" s="4"/>
      <c r="CS1205" s="4"/>
      <c r="CT1205" s="4"/>
      <c r="CU1205" s="4"/>
      <c r="CV1205" s="4"/>
      <c r="CW1205" s="4"/>
      <c r="CX1205" s="4"/>
      <c r="CY1205" s="4"/>
      <c r="CZ1205" s="4"/>
      <c r="DA1205" s="4"/>
      <c r="DB1205" s="4"/>
      <c r="DC1205" s="3"/>
      <c r="DD1205" s="3"/>
      <c r="DE1205" s="8"/>
      <c r="DF1205" s="4"/>
      <c r="DG1205" s="4"/>
      <c r="DH1205" s="4"/>
      <c r="DI1205" s="4"/>
      <c r="DJ1205" s="8"/>
      <c r="DK1205" s="8"/>
      <c r="DL1205" s="8"/>
      <c r="DM1205" s="8"/>
      <c r="DN1205" s="4"/>
      <c r="DO1205" s="4"/>
      <c r="DP1205" s="4"/>
      <c r="DQ1205" s="4"/>
      <c r="DR1205" s="4"/>
      <c r="DS1205" s="4"/>
      <c r="DT1205" s="4"/>
      <c r="DU1205" s="4"/>
      <c r="DV1205" s="4"/>
      <c r="DW1205" s="4"/>
      <c r="DX1205" s="4"/>
      <c r="DY1205" s="4"/>
      <c r="DZ1205" s="4"/>
      <c r="EA1205" s="4"/>
      <c r="EB1205" s="4"/>
      <c r="EC1205" s="4"/>
      <c r="ED1205" s="4"/>
      <c r="EE1205" s="4"/>
      <c r="EF1205" s="4"/>
      <c r="EG1205" s="4"/>
      <c r="EH1205" s="8"/>
      <c r="EI1205" s="8"/>
      <c r="EJ1205" s="8"/>
      <c r="EK1205" s="8"/>
      <c r="EL1205" s="8"/>
      <c r="EM1205" s="8"/>
      <c r="EN1205" s="4"/>
      <c r="EO1205" s="4"/>
      <c r="EP1205" s="4"/>
    </row>
    <row r="1206" spans="1:149" hidden="1">
      <c r="A1206" s="11" t="s">
        <v>9940</v>
      </c>
      <c r="B1206" s="3" t="s">
        <v>8373</v>
      </c>
      <c r="C1206" s="3">
        <v>1993</v>
      </c>
      <c r="D1206" s="3" t="s">
        <v>9283</v>
      </c>
      <c r="E1206" s="3" t="s">
        <v>9284</v>
      </c>
      <c r="F1206" s="3">
        <v>1</v>
      </c>
      <c r="G1206" s="3"/>
      <c r="H1206" s="3" t="s">
        <v>9287</v>
      </c>
      <c r="I1206" s="3"/>
      <c r="J1206" s="3"/>
      <c r="K1206" s="3" t="s">
        <v>5883</v>
      </c>
      <c r="L1206" s="4"/>
      <c r="M1206" s="3" t="s">
        <v>9285</v>
      </c>
      <c r="T1206" s="4"/>
      <c r="V1206" s="3"/>
      <c r="W1206" s="3"/>
      <c r="X1206" s="5" t="s">
        <v>9286</v>
      </c>
      <c r="Y1206" s="5"/>
      <c r="Z1206" s="3">
        <v>0</v>
      </c>
      <c r="AA1206" s="3" t="s">
        <v>9178</v>
      </c>
      <c r="AB1206" s="4"/>
      <c r="AE1206" s="3"/>
      <c r="AF1206" s="4"/>
      <c r="AG1206" s="4"/>
      <c r="AH1206" s="4"/>
      <c r="AI1206" s="4"/>
      <c r="AJ1206" s="4"/>
      <c r="AK1206" s="3"/>
      <c r="AL1206" s="3"/>
      <c r="AM1206" s="3"/>
      <c r="AN1206" s="3"/>
      <c r="AO1206" s="4"/>
      <c r="AP1206" s="3"/>
      <c r="AQ1206" s="4"/>
      <c r="AR1206" s="3"/>
      <c r="AS1206" s="3"/>
      <c r="AT1206" s="4"/>
      <c r="AU1206" s="3"/>
      <c r="AV1206" s="4"/>
      <c r="AW1206" s="4"/>
      <c r="AX1206" s="4"/>
      <c r="AY1206" s="4"/>
      <c r="AZ1206" s="4"/>
      <c r="BA1206" s="4"/>
      <c r="BB1206" s="4"/>
      <c r="BC1206" s="4"/>
      <c r="BD1206" s="4"/>
      <c r="BE1206" s="4"/>
      <c r="BF1206" s="3"/>
      <c r="BG1206" s="3"/>
      <c r="BH1206" s="3"/>
      <c r="BI1206" s="4"/>
      <c r="BJ1206" s="3"/>
      <c r="BK1206" s="4"/>
      <c r="BL1206" s="4"/>
      <c r="BM1206" s="3"/>
      <c r="BN1206" s="4"/>
      <c r="BO1206" s="4"/>
      <c r="BP1206" s="4"/>
      <c r="BQ1206" s="4"/>
      <c r="BR1206" s="4"/>
      <c r="BS1206" s="4"/>
      <c r="BT1206" s="4"/>
      <c r="BU1206" s="4"/>
      <c r="BV1206" s="4"/>
      <c r="BW1206" s="4"/>
      <c r="BX1206" s="4"/>
      <c r="BY1206" s="4"/>
      <c r="BZ1206" s="4"/>
      <c r="CA1206" s="4"/>
      <c r="CB1206" s="4"/>
      <c r="CC1206" s="4"/>
      <c r="CD1206" s="4"/>
      <c r="CE1206" s="4"/>
      <c r="CF1206" s="4"/>
      <c r="CG1206" s="4"/>
      <c r="CH1206" s="4"/>
      <c r="CI1206" s="4"/>
      <c r="CJ1206" s="4"/>
      <c r="CK1206" s="4"/>
      <c r="CL1206" s="4"/>
      <c r="CM1206" s="3"/>
      <c r="CN1206" s="3"/>
      <c r="CO1206" s="4"/>
      <c r="CP1206" s="4"/>
      <c r="CQ1206" s="4"/>
      <c r="CR1206" s="4"/>
      <c r="CS1206" s="4"/>
      <c r="CT1206" s="4"/>
      <c r="CU1206" s="4"/>
      <c r="CV1206" s="4"/>
      <c r="CW1206" s="4"/>
      <c r="CX1206" s="4"/>
      <c r="CY1206" s="4"/>
      <c r="CZ1206" s="4"/>
      <c r="DA1206" s="4"/>
      <c r="DB1206" s="4"/>
      <c r="DC1206" s="4"/>
      <c r="DD1206" s="4"/>
      <c r="DE1206" s="4"/>
      <c r="DF1206" s="4"/>
      <c r="DG1206" s="4"/>
      <c r="DH1206" s="4"/>
      <c r="DI1206" s="4"/>
      <c r="DJ1206" s="4"/>
      <c r="DK1206" s="4"/>
      <c r="DL1206" s="4"/>
      <c r="DM1206" s="4"/>
      <c r="DN1206" s="4"/>
      <c r="DO1206" s="4"/>
      <c r="DP1206" s="4"/>
      <c r="DQ1206" s="4"/>
      <c r="DR1206" s="4"/>
      <c r="DS1206" s="4"/>
      <c r="DT1206" s="4"/>
      <c r="DU1206" s="4"/>
      <c r="DV1206" s="4"/>
      <c r="DW1206" s="4"/>
      <c r="DX1206" s="4"/>
      <c r="DY1206" s="4"/>
      <c r="DZ1206" s="4"/>
    </row>
    <row r="1207" spans="1:149" hidden="1">
      <c r="A1207" s="11" t="s">
        <v>9940</v>
      </c>
      <c r="B1207" s="3" t="s">
        <v>8379</v>
      </c>
      <c r="C1207" s="3">
        <v>2012</v>
      </c>
      <c r="D1207" s="3" t="s">
        <v>100</v>
      </c>
      <c r="E1207" s="3" t="s">
        <v>8527</v>
      </c>
      <c r="F1207" s="3">
        <v>1</v>
      </c>
      <c r="G1207" s="4"/>
      <c r="H1207" s="3" t="s">
        <v>105</v>
      </c>
      <c r="I1207" s="3"/>
      <c r="J1207" s="3"/>
      <c r="K1207" s="4"/>
      <c r="L1207" s="4"/>
      <c r="M1207" s="4"/>
      <c r="T1207" s="4"/>
      <c r="V1207" s="3"/>
      <c r="W1207" s="4"/>
      <c r="X1207" s="5" t="s">
        <v>106</v>
      </c>
      <c r="Y1207" s="5"/>
      <c r="Z1207" s="3">
        <v>1</v>
      </c>
      <c r="AA1207" s="4"/>
      <c r="AB1207" s="4"/>
      <c r="AE1207" s="3"/>
      <c r="AF1207" s="3"/>
      <c r="AG1207" s="3"/>
      <c r="AH1207" s="4"/>
      <c r="AI1207" s="4"/>
      <c r="AJ1207" s="4"/>
      <c r="AK1207" s="3"/>
      <c r="AL1207" s="3"/>
      <c r="AM1207" s="3"/>
      <c r="AN1207" s="3"/>
      <c r="AO1207" s="4"/>
      <c r="AP1207" s="4"/>
      <c r="AQ1207" s="3"/>
      <c r="AR1207" s="4"/>
      <c r="AS1207" s="4"/>
      <c r="AT1207" s="4"/>
      <c r="AU1207" s="4"/>
      <c r="AV1207" s="4"/>
      <c r="AW1207" s="4"/>
      <c r="AX1207" s="4"/>
      <c r="AY1207" s="4"/>
      <c r="AZ1207" s="4"/>
      <c r="BA1207" s="3"/>
      <c r="BB1207" s="4"/>
      <c r="BC1207" s="3"/>
      <c r="BD1207" s="3"/>
      <c r="BE1207" s="3"/>
      <c r="BF1207" s="4"/>
      <c r="BG1207" s="3"/>
      <c r="BH1207" s="3"/>
      <c r="BI1207" s="4"/>
      <c r="BJ1207" s="4"/>
      <c r="BK1207" s="4"/>
      <c r="BL1207" s="4"/>
      <c r="BM1207" s="4"/>
      <c r="BN1207" s="4"/>
      <c r="BO1207" s="4"/>
      <c r="BP1207" s="4"/>
      <c r="BQ1207" s="4"/>
      <c r="BR1207" s="4"/>
      <c r="BS1207" s="4"/>
      <c r="BT1207" s="4"/>
      <c r="BU1207" s="4"/>
      <c r="BV1207" s="4"/>
      <c r="BW1207" s="4"/>
      <c r="BX1207" s="4"/>
      <c r="BY1207" s="4"/>
      <c r="BZ1207" s="4"/>
      <c r="CA1207" s="4"/>
      <c r="CB1207" s="4"/>
      <c r="CC1207" s="4"/>
      <c r="CD1207" s="4"/>
      <c r="CE1207" s="4"/>
      <c r="CF1207" s="4"/>
      <c r="CG1207" s="4"/>
      <c r="CH1207" s="4"/>
      <c r="CI1207" s="4"/>
      <c r="CJ1207" s="4"/>
      <c r="CK1207" s="4"/>
      <c r="CL1207" s="4"/>
      <c r="CM1207" s="4"/>
      <c r="CN1207" s="4"/>
      <c r="CO1207" s="4"/>
      <c r="CP1207" s="4"/>
      <c r="CQ1207" s="4"/>
      <c r="CR1207" s="4"/>
      <c r="CS1207" s="4"/>
      <c r="CT1207" s="4"/>
      <c r="CU1207" s="4"/>
      <c r="CV1207" s="4"/>
      <c r="CW1207" s="4"/>
      <c r="CX1207" s="4"/>
      <c r="CY1207" s="3"/>
      <c r="CZ1207" s="3"/>
      <c r="DA1207" s="8"/>
      <c r="DB1207" s="4"/>
      <c r="DC1207" s="4"/>
      <c r="DD1207" s="4"/>
      <c r="DE1207" s="4"/>
      <c r="DF1207" s="8"/>
      <c r="DG1207" s="8"/>
      <c r="DH1207" s="8"/>
      <c r="DI1207" s="8"/>
      <c r="DJ1207" s="4"/>
      <c r="DK1207" s="4"/>
      <c r="DL1207" s="4"/>
      <c r="DM1207" s="4"/>
      <c r="DN1207" s="4"/>
      <c r="DO1207" s="4"/>
      <c r="DP1207" s="4"/>
      <c r="DQ1207" s="4"/>
      <c r="DR1207" s="4"/>
      <c r="DS1207" s="4"/>
      <c r="DT1207" s="4"/>
      <c r="DU1207" s="4"/>
      <c r="DV1207" s="4"/>
      <c r="DW1207" s="4"/>
      <c r="DX1207" s="4"/>
      <c r="DY1207" s="4"/>
      <c r="DZ1207" s="4"/>
      <c r="EA1207" s="4"/>
      <c r="EB1207" s="4"/>
      <c r="EC1207" s="4"/>
      <c r="ED1207" s="8"/>
      <c r="EE1207" s="8"/>
      <c r="EF1207" s="8"/>
      <c r="EG1207" s="8"/>
      <c r="EH1207" s="8"/>
      <c r="EI1207" s="8"/>
      <c r="EJ1207" s="4"/>
      <c r="EK1207" s="4"/>
      <c r="EL1207" s="4"/>
    </row>
    <row r="1208" spans="1:149" hidden="1">
      <c r="A1208" s="11" t="s">
        <v>9940</v>
      </c>
      <c r="B1208" s="3" t="s">
        <v>8373</v>
      </c>
      <c r="C1208" s="3">
        <v>2017</v>
      </c>
      <c r="D1208" s="3" t="s">
        <v>1758</v>
      </c>
      <c r="E1208" s="3" t="s">
        <v>9288</v>
      </c>
      <c r="F1208" s="3">
        <v>1</v>
      </c>
      <c r="G1208" s="3"/>
      <c r="H1208" s="3" t="s">
        <v>9289</v>
      </c>
      <c r="I1208" s="3"/>
      <c r="J1208" s="3"/>
      <c r="K1208" s="3" t="s">
        <v>252</v>
      </c>
      <c r="L1208" s="4"/>
      <c r="M1208" s="3" t="s">
        <v>8427</v>
      </c>
      <c r="T1208" s="3" t="s">
        <v>1760</v>
      </c>
      <c r="V1208" s="3"/>
      <c r="W1208" s="4"/>
      <c r="X1208" s="5" t="s">
        <v>1763</v>
      </c>
      <c r="Y1208" s="5"/>
      <c r="Z1208" s="3">
        <v>0</v>
      </c>
      <c r="AA1208" s="3" t="s">
        <v>9245</v>
      </c>
      <c r="AB1208" s="3"/>
      <c r="AE1208" s="3"/>
      <c r="AF1208" s="3"/>
      <c r="AG1208" s="4"/>
      <c r="AH1208" s="4"/>
      <c r="AI1208" s="4"/>
      <c r="AJ1208" s="4"/>
      <c r="AK1208" s="3"/>
      <c r="AL1208" s="3"/>
      <c r="AM1208" s="3"/>
      <c r="AN1208" s="3"/>
      <c r="AO1208" s="4"/>
      <c r="AP1208" s="3"/>
      <c r="AQ1208" s="4"/>
      <c r="AR1208" s="3"/>
      <c r="AS1208" s="3"/>
      <c r="AT1208" s="4"/>
      <c r="AU1208" s="3"/>
      <c r="AV1208" s="4"/>
      <c r="AW1208" s="4"/>
      <c r="AX1208" s="4"/>
      <c r="AY1208" s="4"/>
      <c r="AZ1208" s="4"/>
      <c r="BA1208" s="4"/>
      <c r="BB1208" s="4"/>
      <c r="BC1208" s="4"/>
      <c r="BD1208" s="4"/>
      <c r="BE1208" s="4"/>
      <c r="BF1208" s="3"/>
      <c r="BG1208" s="3"/>
      <c r="BH1208" s="3"/>
      <c r="BI1208" s="4"/>
      <c r="BJ1208" s="3"/>
      <c r="BK1208" s="4"/>
      <c r="BL1208" s="4"/>
      <c r="BM1208" s="3"/>
      <c r="BN1208" s="4"/>
      <c r="BO1208" s="4"/>
      <c r="BP1208" s="4"/>
      <c r="BQ1208" s="4"/>
      <c r="BR1208" s="4"/>
      <c r="BS1208" s="4"/>
      <c r="BT1208" s="4"/>
      <c r="BU1208" s="4"/>
      <c r="BV1208" s="4"/>
      <c r="BW1208" s="4"/>
      <c r="BX1208" s="4"/>
      <c r="BY1208" s="4"/>
      <c r="BZ1208" s="4"/>
      <c r="CA1208" s="4"/>
      <c r="CB1208" s="4"/>
      <c r="CC1208" s="4"/>
      <c r="CD1208" s="4"/>
      <c r="CE1208" s="4"/>
      <c r="CF1208" s="4"/>
      <c r="CG1208" s="4"/>
      <c r="CH1208" s="4"/>
      <c r="CI1208" s="4"/>
      <c r="CJ1208" s="4"/>
      <c r="CK1208" s="4"/>
      <c r="CL1208" s="4"/>
      <c r="CM1208" s="4"/>
      <c r="CN1208" s="4"/>
      <c r="CO1208" s="4"/>
      <c r="CP1208" s="4"/>
      <c r="CQ1208" s="4"/>
      <c r="CR1208" s="4"/>
      <c r="CS1208" s="4"/>
      <c r="CT1208" s="4"/>
      <c r="CU1208" s="4"/>
      <c r="CV1208" s="4"/>
      <c r="CW1208" s="4"/>
      <c r="CX1208" s="4"/>
      <c r="CY1208" s="4"/>
      <c r="CZ1208" s="4"/>
      <c r="DA1208" s="4"/>
      <c r="DB1208" s="4"/>
      <c r="DC1208" s="4"/>
      <c r="DD1208" s="4"/>
      <c r="DE1208" s="4"/>
      <c r="DF1208" s="3"/>
      <c r="DG1208" s="3"/>
      <c r="DH1208" s="8"/>
      <c r="DI1208" s="4"/>
      <c r="DJ1208" s="4"/>
      <c r="DK1208" s="4"/>
      <c r="DL1208" s="4"/>
      <c r="DM1208" s="8"/>
      <c r="DN1208" s="8"/>
      <c r="DO1208" s="8"/>
      <c r="DP1208" s="8"/>
      <c r="DQ1208" s="4"/>
      <c r="DR1208" s="4"/>
      <c r="DS1208" s="4"/>
      <c r="DT1208" s="4"/>
      <c r="DU1208" s="4"/>
      <c r="DV1208" s="4"/>
      <c r="DW1208" s="4"/>
      <c r="DX1208" s="4"/>
      <c r="DY1208" s="4"/>
      <c r="DZ1208" s="4"/>
      <c r="EA1208" s="4"/>
      <c r="EB1208" s="4"/>
      <c r="EC1208" s="4"/>
      <c r="ED1208" s="4"/>
      <c r="EE1208" s="4"/>
      <c r="EF1208" s="4"/>
      <c r="EG1208" s="4"/>
      <c r="EH1208" s="4"/>
      <c r="EI1208" s="4"/>
      <c r="EJ1208" s="4"/>
      <c r="EK1208" s="8"/>
      <c r="EL1208" s="8"/>
      <c r="EM1208" s="8"/>
      <c r="EN1208" s="8"/>
      <c r="EO1208" s="8"/>
      <c r="EP1208" s="8"/>
      <c r="EQ1208" s="4"/>
      <c r="ER1208" s="4"/>
      <c r="ES1208" s="4"/>
    </row>
    <row r="1209" spans="1:149" hidden="1">
      <c r="A1209" s="11" t="s">
        <v>9940</v>
      </c>
      <c r="B1209" s="3" t="s">
        <v>8373</v>
      </c>
      <c r="C1209" s="3">
        <v>2017</v>
      </c>
      <c r="D1209" s="3" t="s">
        <v>3244</v>
      </c>
      <c r="E1209" s="3" t="s">
        <v>8528</v>
      </c>
      <c r="F1209" s="3">
        <v>1</v>
      </c>
      <c r="G1209" s="3"/>
      <c r="H1209" s="3" t="s">
        <v>8530</v>
      </c>
      <c r="I1209" s="3"/>
      <c r="J1209" s="3"/>
      <c r="K1209" s="3" t="s">
        <v>3245</v>
      </c>
      <c r="L1209" s="4"/>
      <c r="M1209" s="3" t="s">
        <v>8529</v>
      </c>
      <c r="T1209" s="3" t="s">
        <v>3247</v>
      </c>
      <c r="V1209" s="3"/>
      <c r="W1209" s="4"/>
      <c r="X1209" s="5" t="s">
        <v>3250</v>
      </c>
      <c r="Y1209" s="5"/>
      <c r="Z1209" s="3">
        <v>1</v>
      </c>
      <c r="AA1209" s="4"/>
      <c r="AB1209" s="4"/>
      <c r="AE1209" s="3"/>
      <c r="AF1209" s="3"/>
      <c r="AG1209" s="4"/>
      <c r="AH1209" s="4"/>
      <c r="AI1209" s="4"/>
      <c r="AJ1209" s="4"/>
      <c r="AK1209" s="3"/>
      <c r="AL1209" s="3"/>
      <c r="AM1209" s="3"/>
      <c r="AN1209" s="3"/>
      <c r="AO1209" s="4"/>
      <c r="AP1209" s="3"/>
      <c r="AQ1209" s="3"/>
      <c r="AR1209" s="3"/>
      <c r="AS1209" s="4"/>
      <c r="AT1209" s="3"/>
      <c r="AU1209" s="4"/>
      <c r="AV1209" s="4"/>
      <c r="AW1209" s="4"/>
      <c r="AX1209" s="4"/>
      <c r="AY1209" s="4"/>
      <c r="AZ1209" s="4"/>
      <c r="BA1209" s="4"/>
      <c r="BB1209" s="4"/>
      <c r="BC1209" s="4"/>
      <c r="BD1209" s="4"/>
      <c r="BE1209" s="3"/>
      <c r="BF1209" s="3"/>
      <c r="BG1209" s="3"/>
      <c r="BH1209" s="4"/>
      <c r="BI1209" s="3"/>
      <c r="BJ1209" s="4"/>
      <c r="BK1209" s="4"/>
      <c r="BL1209" s="3"/>
      <c r="BM1209" s="4"/>
      <c r="BN1209" s="4"/>
      <c r="BO1209" s="4"/>
      <c r="BP1209" s="4"/>
      <c r="BQ1209" s="4"/>
      <c r="BR1209" s="4"/>
      <c r="BS1209" s="4"/>
      <c r="BT1209" s="4"/>
      <c r="BU1209" s="4"/>
      <c r="BV1209" s="4"/>
      <c r="BW1209" s="4"/>
      <c r="BX1209" s="4"/>
      <c r="BY1209" s="4"/>
      <c r="BZ1209" s="4"/>
      <c r="CA1209" s="4"/>
      <c r="CB1209" s="4"/>
      <c r="CC1209" s="4"/>
      <c r="CD1209" s="4"/>
      <c r="CE1209" s="4"/>
      <c r="CF1209" s="4"/>
      <c r="CG1209" s="4"/>
      <c r="CH1209" s="4"/>
      <c r="CI1209" s="4"/>
      <c r="CJ1209" s="4"/>
      <c r="CK1209" s="4"/>
      <c r="CL1209" s="4"/>
      <c r="CM1209" s="4"/>
      <c r="CN1209" s="4"/>
      <c r="CO1209" s="4"/>
      <c r="CP1209" s="4"/>
      <c r="CQ1209" s="4"/>
      <c r="CR1209" s="4"/>
      <c r="CS1209" s="4"/>
      <c r="CT1209" s="4"/>
      <c r="CU1209" s="4"/>
      <c r="CV1209" s="4"/>
      <c r="CW1209" s="4"/>
      <c r="CX1209" s="3"/>
      <c r="CY1209" s="3"/>
      <c r="CZ1209" s="8"/>
      <c r="DA1209" s="4"/>
      <c r="DB1209" s="4"/>
      <c r="DC1209" s="4"/>
      <c r="DD1209" s="4"/>
      <c r="DE1209" s="8"/>
      <c r="DF1209" s="8"/>
      <c r="DG1209" s="8"/>
      <c r="DH1209" s="8"/>
      <c r="DI1209" s="4"/>
      <c r="DJ1209" s="4"/>
      <c r="DK1209" s="4"/>
      <c r="DL1209" s="4"/>
      <c r="DM1209" s="4"/>
      <c r="DN1209" s="4"/>
      <c r="DO1209" s="4"/>
      <c r="DP1209" s="4"/>
      <c r="DQ1209" s="4"/>
      <c r="DR1209" s="4"/>
      <c r="DS1209" s="4"/>
      <c r="DT1209" s="4"/>
      <c r="DU1209" s="4"/>
      <c r="DV1209" s="4"/>
      <c r="DW1209" s="4"/>
      <c r="DX1209" s="4"/>
      <c r="DY1209" s="4"/>
      <c r="DZ1209" s="4"/>
      <c r="EA1209" s="4"/>
      <c r="EB1209" s="4"/>
      <c r="EC1209" s="8"/>
      <c r="ED1209" s="8"/>
      <c r="EE1209" s="8"/>
      <c r="EF1209" s="8"/>
      <c r="EG1209" s="8"/>
      <c r="EH1209" s="8"/>
      <c r="EI1209" s="4"/>
      <c r="EJ1209" s="4"/>
      <c r="EK1209" s="4"/>
    </row>
    <row r="1210" spans="1:149" hidden="1">
      <c r="A1210" s="11" t="s">
        <v>9940</v>
      </c>
      <c r="B1210" s="3" t="s">
        <v>8373</v>
      </c>
      <c r="C1210" s="3">
        <v>2017</v>
      </c>
      <c r="D1210" s="3" t="s">
        <v>9290</v>
      </c>
      <c r="E1210" s="3" t="s">
        <v>9291</v>
      </c>
      <c r="F1210" s="3">
        <v>1</v>
      </c>
      <c r="G1210" s="3"/>
      <c r="H1210" s="3" t="s">
        <v>9294</v>
      </c>
      <c r="I1210" s="3"/>
      <c r="J1210" s="3"/>
      <c r="K1210" s="3" t="s">
        <v>933</v>
      </c>
      <c r="L1210" s="4"/>
      <c r="M1210" s="12">
        <v>19633</v>
      </c>
      <c r="T1210" s="3" t="s">
        <v>9292</v>
      </c>
      <c r="V1210" s="3"/>
      <c r="W1210" s="3"/>
      <c r="X1210" s="5" t="s">
        <v>9293</v>
      </c>
      <c r="Y1210" s="5"/>
      <c r="Z1210" s="3">
        <v>0</v>
      </c>
      <c r="AA1210" s="3" t="s">
        <v>9265</v>
      </c>
      <c r="AB1210" s="4"/>
      <c r="AE1210" s="3"/>
      <c r="AF1210" s="4"/>
      <c r="AG1210" s="4"/>
      <c r="AH1210" s="4"/>
      <c r="AI1210" s="4"/>
      <c r="AJ1210" s="4"/>
      <c r="AK1210" s="3"/>
      <c r="AL1210" s="3"/>
      <c r="AM1210" s="3"/>
      <c r="AN1210" s="3"/>
      <c r="AO1210" s="4"/>
      <c r="AP1210" s="3"/>
      <c r="AQ1210" s="4"/>
      <c r="AR1210" s="3"/>
      <c r="AS1210" s="3"/>
      <c r="AT1210" s="4"/>
      <c r="AU1210" s="3"/>
      <c r="AV1210" s="4"/>
      <c r="AW1210" s="4"/>
      <c r="AX1210" s="4"/>
      <c r="AY1210" s="4"/>
      <c r="AZ1210" s="4"/>
      <c r="BA1210" s="4"/>
      <c r="BB1210" s="4"/>
      <c r="BC1210" s="4"/>
      <c r="BD1210" s="4"/>
      <c r="BE1210" s="4"/>
      <c r="BF1210" s="3"/>
      <c r="BG1210" s="3"/>
      <c r="BH1210" s="3"/>
      <c r="BI1210" s="4"/>
      <c r="BJ1210" s="3"/>
      <c r="BK1210" s="4"/>
      <c r="BL1210" s="4"/>
      <c r="BM1210" s="4"/>
      <c r="BN1210" s="3"/>
      <c r="BO1210" s="4"/>
      <c r="BP1210" s="4"/>
      <c r="BQ1210" s="4"/>
      <c r="BR1210" s="4"/>
      <c r="BS1210" s="4"/>
      <c r="BT1210" s="4"/>
      <c r="BU1210" s="4"/>
      <c r="BV1210" s="4"/>
      <c r="BW1210" s="4"/>
      <c r="BX1210" s="4"/>
      <c r="BY1210" s="4"/>
      <c r="BZ1210" s="4"/>
      <c r="CA1210" s="4"/>
      <c r="CB1210" s="4"/>
      <c r="CC1210" s="4"/>
      <c r="CD1210" s="4"/>
      <c r="CE1210" s="4"/>
      <c r="CF1210" s="4"/>
      <c r="CG1210" s="4"/>
      <c r="CH1210" s="4"/>
      <c r="CI1210" s="4"/>
      <c r="CJ1210" s="4"/>
      <c r="CK1210" s="4"/>
      <c r="CL1210" s="4"/>
      <c r="CM1210" s="4"/>
      <c r="CN1210" s="4"/>
      <c r="CO1210" s="4"/>
      <c r="CP1210" s="4"/>
      <c r="CQ1210" s="4"/>
      <c r="CR1210" s="4"/>
      <c r="CS1210" s="4"/>
      <c r="CT1210" s="4"/>
      <c r="CU1210" s="4"/>
      <c r="CV1210" s="4"/>
      <c r="CW1210" s="4"/>
      <c r="CX1210" s="4"/>
      <c r="CY1210" s="4"/>
      <c r="CZ1210" s="4"/>
      <c r="DA1210" s="4"/>
      <c r="DB1210" s="4"/>
      <c r="DC1210" s="3"/>
      <c r="DD1210" s="3"/>
      <c r="DE1210" s="4"/>
      <c r="DF1210" s="4"/>
      <c r="DG1210" s="4"/>
      <c r="DH1210" s="4"/>
      <c r="DI1210" s="4"/>
      <c r="DJ1210" s="4"/>
      <c r="DK1210" s="4"/>
      <c r="DL1210" s="4"/>
      <c r="DM1210" s="4"/>
      <c r="DN1210" s="4"/>
      <c r="DO1210" s="4"/>
      <c r="DP1210" s="4"/>
      <c r="DQ1210" s="4"/>
      <c r="DR1210" s="4"/>
      <c r="DS1210" s="4"/>
      <c r="DT1210" s="4"/>
      <c r="DU1210" s="4"/>
      <c r="DV1210" s="4"/>
      <c r="DW1210" s="4"/>
      <c r="DX1210" s="4"/>
      <c r="DY1210" s="4"/>
      <c r="DZ1210" s="4"/>
      <c r="EA1210" s="4"/>
      <c r="EB1210" s="4"/>
      <c r="EC1210" s="4"/>
      <c r="ED1210" s="4"/>
      <c r="EE1210" s="4"/>
      <c r="EF1210" s="4"/>
      <c r="EG1210" s="4"/>
      <c r="EH1210" s="4"/>
      <c r="EI1210" s="4"/>
      <c r="EJ1210" s="4"/>
      <c r="EK1210" s="4"/>
      <c r="EL1210" s="4"/>
      <c r="EM1210" s="4"/>
      <c r="EN1210" s="4"/>
      <c r="EO1210" s="4"/>
      <c r="EP1210" s="4"/>
    </row>
    <row r="1211" spans="1:149" hidden="1">
      <c r="A1211" s="11" t="s">
        <v>9940</v>
      </c>
      <c r="B1211" s="3" t="s">
        <v>8373</v>
      </c>
      <c r="C1211" s="3">
        <v>2016</v>
      </c>
      <c r="D1211" s="3" t="s">
        <v>4775</v>
      </c>
      <c r="E1211" s="3" t="s">
        <v>8531</v>
      </c>
      <c r="F1211" s="3">
        <v>1</v>
      </c>
      <c r="G1211" s="3"/>
      <c r="H1211" s="3" t="s">
        <v>4782</v>
      </c>
      <c r="I1211" s="3"/>
      <c r="J1211" s="3"/>
      <c r="K1211" s="3" t="s">
        <v>4776</v>
      </c>
      <c r="L1211" s="4"/>
      <c r="M1211" s="3" t="s">
        <v>8532</v>
      </c>
      <c r="T1211" s="4"/>
      <c r="V1211" s="3"/>
      <c r="W1211" s="3"/>
      <c r="X1211" s="5" t="s">
        <v>4783</v>
      </c>
      <c r="Y1211" s="5"/>
      <c r="Z1211" s="3">
        <v>1</v>
      </c>
      <c r="AA1211" s="4"/>
      <c r="AB1211" s="3"/>
      <c r="AE1211" s="3"/>
      <c r="AF1211" s="13"/>
      <c r="AG1211" s="4"/>
      <c r="AH1211" s="4"/>
      <c r="AI1211" s="3"/>
      <c r="AJ1211" s="3"/>
      <c r="AK1211" s="3"/>
      <c r="AL1211" s="3"/>
      <c r="AM1211" s="3"/>
      <c r="AN1211" s="3"/>
      <c r="AO1211" s="4"/>
      <c r="AP1211" s="3"/>
      <c r="AQ1211" s="3"/>
      <c r="AR1211" s="3"/>
      <c r="AS1211" s="4"/>
      <c r="AT1211" s="3"/>
      <c r="AU1211" s="4"/>
      <c r="AV1211" s="3"/>
      <c r="AW1211" s="4"/>
      <c r="AX1211" s="4"/>
      <c r="AY1211" s="4"/>
      <c r="AZ1211" s="4"/>
      <c r="BA1211" s="4"/>
      <c r="BB1211" s="4"/>
      <c r="BC1211" s="4"/>
      <c r="BD1211" s="4"/>
      <c r="BE1211" s="3"/>
      <c r="BF1211" s="3"/>
      <c r="BG1211" s="3"/>
      <c r="BH1211" s="4"/>
      <c r="BI1211" s="3"/>
      <c r="BJ1211" s="4"/>
      <c r="BK1211" s="3"/>
      <c r="BL1211" s="4"/>
      <c r="BM1211" s="4"/>
      <c r="BN1211" s="4"/>
      <c r="BO1211" s="4"/>
      <c r="BP1211" s="4"/>
      <c r="BQ1211" s="4"/>
      <c r="BR1211" s="4"/>
      <c r="BS1211" s="4"/>
      <c r="BT1211" s="4"/>
      <c r="BU1211" s="4"/>
      <c r="BV1211" s="4"/>
      <c r="BW1211" s="4"/>
      <c r="BX1211" s="4"/>
      <c r="BY1211" s="4"/>
      <c r="BZ1211" s="4"/>
      <c r="CA1211" s="4"/>
      <c r="CB1211" s="4"/>
      <c r="CC1211" s="4"/>
      <c r="CD1211" s="4"/>
      <c r="CE1211" s="4"/>
      <c r="CF1211" s="4"/>
      <c r="CG1211" s="4"/>
      <c r="CH1211" s="4"/>
      <c r="CI1211" s="4"/>
      <c r="CJ1211" s="4"/>
      <c r="CK1211" s="4"/>
      <c r="CL1211" s="4"/>
      <c r="CM1211" s="4"/>
      <c r="CN1211" s="4"/>
      <c r="CO1211" s="4"/>
      <c r="CP1211" s="4"/>
      <c r="CQ1211" s="4"/>
      <c r="CR1211" s="4"/>
      <c r="CS1211" s="4"/>
      <c r="CT1211" s="4"/>
      <c r="CU1211" s="4"/>
      <c r="CV1211" s="4"/>
      <c r="CW1211" s="4"/>
      <c r="CX1211" s="4"/>
      <c r="CY1211" s="4"/>
      <c r="CZ1211" s="4"/>
      <c r="DA1211" s="4"/>
      <c r="DB1211" s="4"/>
      <c r="DC1211" s="4"/>
      <c r="DD1211" s="3"/>
      <c r="DE1211" s="3"/>
      <c r="DF1211" s="8"/>
      <c r="DG1211" s="4"/>
      <c r="DH1211" s="4"/>
      <c r="DI1211" s="4"/>
      <c r="DJ1211" s="4"/>
      <c r="DK1211" s="8"/>
      <c r="DL1211" s="8"/>
      <c r="DM1211" s="8"/>
      <c r="DN1211" s="8"/>
      <c r="DO1211" s="4"/>
      <c r="DP1211" s="4"/>
      <c r="DQ1211" s="4"/>
      <c r="DR1211" s="4"/>
      <c r="DS1211" s="4"/>
      <c r="DT1211" s="4"/>
      <c r="DU1211" s="4"/>
      <c r="DV1211" s="4"/>
      <c r="DW1211" s="4"/>
      <c r="DX1211" s="4"/>
      <c r="DY1211" s="4"/>
      <c r="DZ1211" s="4"/>
      <c r="EA1211" s="4"/>
      <c r="EB1211" s="4"/>
      <c r="EC1211" s="4"/>
      <c r="ED1211" s="4"/>
      <c r="EE1211" s="4"/>
      <c r="EF1211" s="4"/>
      <c r="EG1211" s="4"/>
      <c r="EH1211" s="4"/>
      <c r="EI1211" s="8"/>
      <c r="EJ1211" s="8"/>
      <c r="EK1211" s="8"/>
      <c r="EL1211" s="8"/>
      <c r="EM1211" s="8"/>
      <c r="EN1211" s="8"/>
      <c r="EO1211" s="4"/>
      <c r="EP1211" s="4"/>
      <c r="EQ1211" s="4"/>
    </row>
    <row r="1212" spans="1:149" hidden="1">
      <c r="A1212" s="11" t="s">
        <v>9940</v>
      </c>
      <c r="B1212" s="3" t="s">
        <v>8379</v>
      </c>
      <c r="C1212" s="3">
        <v>2020</v>
      </c>
      <c r="D1212" s="3" t="s">
        <v>8251</v>
      </c>
      <c r="E1212" s="3" t="s">
        <v>9295</v>
      </c>
      <c r="F1212" s="3">
        <v>0</v>
      </c>
      <c r="G1212" s="3" t="s">
        <v>9237</v>
      </c>
      <c r="H1212" s="3" t="s">
        <v>8254</v>
      </c>
      <c r="I1212" s="3"/>
      <c r="J1212" s="3"/>
      <c r="K1212" s="4"/>
      <c r="L1212" s="4"/>
      <c r="M1212" s="4"/>
      <c r="T1212" s="4"/>
      <c r="V1212" s="4"/>
      <c r="W1212" s="4"/>
      <c r="X1212" s="5" t="s">
        <v>8255</v>
      </c>
      <c r="Y1212" s="5"/>
      <c r="Z1212" s="4"/>
      <c r="AA1212" s="4"/>
      <c r="AB1212" s="4"/>
      <c r="AE1212" s="4"/>
      <c r="AF1212" s="4"/>
      <c r="AG1212" s="3"/>
      <c r="AH1212" s="3"/>
      <c r="AI1212" s="3"/>
      <c r="AJ1212" s="3"/>
      <c r="AK1212" s="4"/>
      <c r="AL1212" s="4"/>
      <c r="AM1212" s="4"/>
      <c r="AN1212" s="4"/>
      <c r="AO1212" s="4"/>
      <c r="AP1212" s="4"/>
      <c r="AQ1212" s="4"/>
      <c r="AR1212" s="4"/>
      <c r="AS1212" s="4"/>
      <c r="AT1212" s="4"/>
      <c r="AU1212" s="4"/>
      <c r="AV1212" s="4"/>
      <c r="AW1212" s="3"/>
      <c r="AX1212" s="4"/>
      <c r="AY1212" s="3"/>
      <c r="AZ1212" s="3"/>
      <c r="BA1212" s="3"/>
      <c r="BB1212" s="4"/>
      <c r="BC1212" s="3"/>
      <c r="BD1212" s="3"/>
      <c r="BE1212" s="4"/>
      <c r="BF1212" s="4"/>
      <c r="BG1212" s="4"/>
      <c r="BH1212" s="4"/>
      <c r="BI1212" s="4"/>
      <c r="BJ1212" s="4"/>
      <c r="BK1212" s="4"/>
      <c r="BL1212" s="4"/>
      <c r="BM1212" s="4"/>
      <c r="BN1212" s="4"/>
      <c r="BO1212" s="4"/>
      <c r="BP1212" s="4"/>
      <c r="BQ1212" s="4"/>
      <c r="BR1212" s="4"/>
      <c r="BS1212" s="4"/>
      <c r="BT1212" s="4"/>
      <c r="BU1212" s="4"/>
      <c r="BV1212" s="4"/>
      <c r="BW1212" s="4"/>
      <c r="BX1212" s="4"/>
      <c r="BY1212" s="4"/>
      <c r="BZ1212" s="4"/>
      <c r="CA1212" s="4"/>
      <c r="CB1212" s="4"/>
      <c r="CC1212" s="4"/>
      <c r="CD1212" s="4"/>
      <c r="CE1212" s="4"/>
      <c r="CF1212" s="4"/>
      <c r="CG1212" s="4"/>
      <c r="CH1212" s="4"/>
      <c r="CI1212" s="4"/>
      <c r="CJ1212" s="4"/>
      <c r="CK1212" s="4"/>
      <c r="CL1212" s="4"/>
      <c r="CM1212" s="4"/>
      <c r="CN1212" s="4"/>
      <c r="CO1212" s="4"/>
      <c r="CP1212" s="4"/>
      <c r="CQ1212" s="4"/>
      <c r="CR1212" s="4"/>
      <c r="CS1212" s="4"/>
      <c r="CT1212" s="4"/>
      <c r="CU1212" s="4"/>
      <c r="CV1212" s="4"/>
      <c r="CW1212" s="4"/>
      <c r="CX1212" s="4"/>
      <c r="CY1212" s="4"/>
      <c r="CZ1212" s="3"/>
      <c r="DA1212" s="3"/>
      <c r="DB1212" s="4"/>
      <c r="DC1212" s="4"/>
      <c r="DD1212" s="4"/>
      <c r="DE1212" s="4"/>
      <c r="DF1212" s="4"/>
      <c r="DG1212" s="4"/>
      <c r="DH1212" s="4"/>
      <c r="DI1212" s="4"/>
      <c r="DJ1212" s="4"/>
      <c r="DK1212" s="4"/>
      <c r="DL1212" s="4"/>
      <c r="DM1212" s="4"/>
      <c r="DN1212" s="4"/>
      <c r="DO1212" s="4"/>
      <c r="DP1212" s="4"/>
      <c r="DQ1212" s="4"/>
      <c r="DR1212" s="4"/>
      <c r="DS1212" s="4"/>
      <c r="DT1212" s="4"/>
      <c r="DU1212" s="4"/>
      <c r="DV1212" s="4"/>
      <c r="DW1212" s="4"/>
      <c r="DX1212" s="4"/>
      <c r="DY1212" s="4"/>
      <c r="DZ1212" s="4"/>
      <c r="EA1212" s="4"/>
      <c r="EB1212" s="4"/>
      <c r="EC1212" s="4"/>
      <c r="ED1212" s="4"/>
      <c r="EE1212" s="4"/>
      <c r="EF1212" s="4"/>
      <c r="EG1212" s="4"/>
      <c r="EH1212" s="4"/>
      <c r="EI1212" s="4"/>
      <c r="EJ1212" s="4"/>
      <c r="EK1212" s="4"/>
      <c r="EL1212" s="4"/>
      <c r="EM1212" s="4"/>
    </row>
    <row r="1213" spans="1:149" hidden="1">
      <c r="A1213" s="11" t="s">
        <v>9940</v>
      </c>
      <c r="B1213" s="3" t="s">
        <v>8373</v>
      </c>
      <c r="C1213" s="3">
        <v>2010</v>
      </c>
      <c r="D1213" s="3" t="s">
        <v>6735</v>
      </c>
      <c r="E1213" s="3" t="s">
        <v>8533</v>
      </c>
      <c r="F1213" s="3">
        <v>1</v>
      </c>
      <c r="G1213" s="3"/>
      <c r="H1213" s="3" t="s">
        <v>8535</v>
      </c>
      <c r="I1213" s="3"/>
      <c r="J1213" s="3"/>
      <c r="K1213" s="3" t="s">
        <v>2826</v>
      </c>
      <c r="L1213" s="4"/>
      <c r="M1213" s="3" t="s">
        <v>8534</v>
      </c>
      <c r="T1213" s="3" t="s">
        <v>6737</v>
      </c>
      <c r="V1213" s="3"/>
      <c r="W1213" s="4"/>
      <c r="X1213" s="5" t="s">
        <v>6740</v>
      </c>
      <c r="Y1213" s="5"/>
      <c r="Z1213" s="3">
        <v>1</v>
      </c>
      <c r="AA1213" s="4"/>
      <c r="AB1213" s="4"/>
      <c r="AE1213" s="3"/>
      <c r="AF1213" s="3"/>
      <c r="AG1213" s="4"/>
      <c r="AH1213" s="4"/>
      <c r="AI1213" s="4"/>
      <c r="AJ1213" s="4"/>
      <c r="AK1213" s="3"/>
      <c r="AL1213" s="7"/>
      <c r="AM1213" s="3"/>
      <c r="AN1213" s="3"/>
      <c r="AO1213" s="4"/>
      <c r="AP1213" s="3"/>
      <c r="AQ1213" s="4"/>
      <c r="AR1213" s="3"/>
      <c r="AS1213" s="3"/>
      <c r="AT1213" s="4"/>
      <c r="AU1213" s="3"/>
      <c r="AV1213" s="4"/>
      <c r="AW1213" s="3"/>
      <c r="AX1213" s="4"/>
      <c r="AY1213" s="4"/>
      <c r="AZ1213" s="4"/>
      <c r="BA1213" s="4"/>
      <c r="BB1213" s="4"/>
      <c r="BC1213" s="4"/>
      <c r="BD1213" s="3"/>
      <c r="BE1213" s="3"/>
      <c r="BF1213" s="3"/>
      <c r="BG1213" s="4"/>
      <c r="BH1213" s="3"/>
      <c r="BI1213" s="4"/>
      <c r="BJ1213" s="4"/>
      <c r="BK1213" s="3"/>
      <c r="BL1213" s="4"/>
      <c r="BM1213" s="4"/>
      <c r="BN1213" s="4"/>
      <c r="BO1213" s="4"/>
      <c r="BP1213" s="4"/>
      <c r="BQ1213" s="4"/>
      <c r="BR1213" s="4"/>
      <c r="BS1213" s="4"/>
      <c r="BT1213" s="4"/>
      <c r="BU1213" s="4"/>
      <c r="BV1213" s="4"/>
      <c r="BW1213" s="4"/>
      <c r="BX1213" s="4"/>
      <c r="BY1213" s="4"/>
      <c r="BZ1213" s="4"/>
      <c r="CA1213" s="4"/>
      <c r="CB1213" s="4"/>
      <c r="CC1213" s="4"/>
      <c r="CD1213" s="4"/>
      <c r="CE1213" s="4"/>
      <c r="CF1213" s="4"/>
      <c r="CG1213" s="4"/>
      <c r="CH1213" s="4"/>
      <c r="CI1213" s="4"/>
      <c r="CJ1213" s="4"/>
      <c r="CK1213" s="4"/>
      <c r="CL1213" s="4"/>
      <c r="CM1213" s="4"/>
      <c r="CN1213" s="4"/>
      <c r="CO1213" s="4"/>
      <c r="CP1213" s="4"/>
      <c r="CQ1213" s="4"/>
      <c r="CR1213" s="4"/>
      <c r="CS1213" s="4"/>
      <c r="CT1213" s="4"/>
      <c r="CU1213" s="4"/>
      <c r="CV1213" s="4"/>
      <c r="CW1213" s="4"/>
      <c r="CX1213" s="4"/>
      <c r="CY1213" s="4"/>
      <c r="CZ1213" s="4"/>
      <c r="DA1213" s="3"/>
      <c r="DB1213" s="3"/>
      <c r="DC1213" s="8"/>
      <c r="DD1213" s="4"/>
      <c r="DE1213" s="4"/>
      <c r="DF1213" s="4"/>
      <c r="DG1213" s="4"/>
      <c r="DH1213" s="8"/>
      <c r="DI1213" s="8"/>
      <c r="DJ1213" s="8"/>
      <c r="DK1213" s="8"/>
      <c r="DL1213" s="4"/>
      <c r="DM1213" s="4"/>
      <c r="DN1213" s="4"/>
      <c r="DO1213" s="4"/>
      <c r="DP1213" s="4"/>
      <c r="DQ1213" s="4"/>
      <c r="DR1213" s="4"/>
      <c r="DS1213" s="4"/>
      <c r="DT1213" s="4"/>
      <c r="DU1213" s="4"/>
      <c r="DV1213" s="4"/>
      <c r="DW1213" s="4"/>
      <c r="DX1213" s="4"/>
      <c r="DY1213" s="4"/>
      <c r="DZ1213" s="4"/>
      <c r="EA1213" s="4"/>
      <c r="EB1213" s="4"/>
      <c r="EC1213" s="4"/>
      <c r="ED1213" s="4"/>
      <c r="EE1213" s="4"/>
      <c r="EF1213" s="8"/>
      <c r="EG1213" s="8"/>
      <c r="EH1213" s="8"/>
      <c r="EI1213" s="8"/>
      <c r="EJ1213" s="8"/>
      <c r="EK1213" s="8"/>
      <c r="EL1213" s="4"/>
      <c r="EM1213" s="4"/>
      <c r="EN1213" s="4"/>
    </row>
    <row r="1214" spans="1:149" hidden="1">
      <c r="A1214" s="11" t="s">
        <v>9940</v>
      </c>
      <c r="B1214" s="3" t="s">
        <v>8373</v>
      </c>
      <c r="C1214" s="3">
        <v>2017</v>
      </c>
      <c r="D1214" s="3" t="s">
        <v>3138</v>
      </c>
      <c r="E1214" s="3" t="s">
        <v>9296</v>
      </c>
      <c r="F1214" s="3">
        <v>0</v>
      </c>
      <c r="G1214" s="3" t="s">
        <v>9249</v>
      </c>
      <c r="H1214" s="3" t="s">
        <v>9298</v>
      </c>
      <c r="I1214" s="3"/>
      <c r="J1214" s="3"/>
      <c r="K1214" s="3" t="s">
        <v>3139</v>
      </c>
      <c r="L1214" s="4"/>
      <c r="M1214" s="3" t="s">
        <v>9297</v>
      </c>
      <c r="T1214" s="3" t="s">
        <v>3141</v>
      </c>
      <c r="V1214" s="4"/>
      <c r="W1214" s="4"/>
      <c r="X1214" s="5" t="s">
        <v>3144</v>
      </c>
      <c r="Y1214" s="5"/>
      <c r="Z1214" s="4"/>
      <c r="AA1214" s="4"/>
      <c r="AB1214" s="4"/>
      <c r="AE1214" s="4"/>
      <c r="AF1214" s="4"/>
      <c r="AG1214" s="3"/>
      <c r="AH1214" s="3"/>
      <c r="AI1214" s="3"/>
      <c r="AJ1214" s="3"/>
      <c r="AK1214" s="4"/>
      <c r="AL1214" s="3"/>
      <c r="AM1214" s="4"/>
      <c r="AN1214" s="3"/>
      <c r="AO1214" s="3"/>
      <c r="AP1214" s="4"/>
      <c r="AQ1214" s="3"/>
      <c r="AR1214" s="4"/>
      <c r="AS1214" s="4"/>
      <c r="AT1214" s="4"/>
      <c r="AU1214" s="4"/>
      <c r="AV1214" s="4"/>
      <c r="AW1214" s="4"/>
      <c r="AX1214" s="4"/>
      <c r="AY1214" s="4"/>
      <c r="AZ1214" s="4"/>
      <c r="BA1214" s="4"/>
      <c r="BB1214" s="3"/>
      <c r="BC1214" s="3"/>
      <c r="BD1214" s="3"/>
      <c r="BE1214" s="4"/>
      <c r="BF1214" s="3"/>
      <c r="BG1214" s="4"/>
      <c r="BH1214" s="4"/>
      <c r="BI1214" s="3"/>
      <c r="BJ1214" s="4"/>
      <c r="BK1214" s="4"/>
      <c r="BL1214" s="4"/>
      <c r="BM1214" s="4"/>
      <c r="BN1214" s="4"/>
      <c r="BO1214" s="4"/>
      <c r="BP1214" s="4"/>
      <c r="BQ1214" s="4"/>
      <c r="BR1214" s="4"/>
      <c r="BS1214" s="4"/>
      <c r="BT1214" s="4"/>
      <c r="BU1214" s="4"/>
      <c r="BV1214" s="4"/>
      <c r="BW1214" s="4"/>
      <c r="BX1214" s="4"/>
      <c r="BY1214" s="4"/>
      <c r="BZ1214" s="4"/>
      <c r="CA1214" s="4"/>
      <c r="CB1214" s="4"/>
      <c r="CC1214" s="4"/>
      <c r="CD1214" s="4"/>
      <c r="CE1214" s="4"/>
      <c r="CF1214" s="4"/>
      <c r="CG1214" s="4"/>
      <c r="CH1214" s="4"/>
      <c r="CI1214" s="4"/>
      <c r="CJ1214" s="4"/>
      <c r="CK1214" s="4"/>
      <c r="CL1214" s="4"/>
      <c r="CM1214" s="4"/>
      <c r="CN1214" s="4"/>
      <c r="CO1214" s="4"/>
      <c r="CP1214" s="4"/>
      <c r="CQ1214" s="4"/>
      <c r="CR1214" s="4"/>
      <c r="CS1214" s="4"/>
      <c r="CT1214" s="4"/>
      <c r="CU1214" s="4"/>
      <c r="CV1214" s="4"/>
      <c r="CW1214" s="4"/>
      <c r="CX1214" s="4"/>
      <c r="CY1214" s="4"/>
      <c r="CZ1214" s="4"/>
      <c r="DA1214" s="3"/>
      <c r="DB1214" s="3"/>
      <c r="DC1214" s="4"/>
      <c r="DD1214" s="4"/>
      <c r="DE1214" s="4"/>
      <c r="DF1214" s="4"/>
      <c r="DG1214" s="4"/>
      <c r="DH1214" s="4"/>
      <c r="DI1214" s="4"/>
      <c r="DJ1214" s="4"/>
      <c r="DK1214" s="4"/>
      <c r="DL1214" s="4"/>
      <c r="DM1214" s="4"/>
      <c r="DN1214" s="4"/>
      <c r="DO1214" s="4"/>
      <c r="DP1214" s="4"/>
      <c r="DQ1214" s="4"/>
      <c r="DR1214" s="4"/>
      <c r="DS1214" s="4"/>
      <c r="DT1214" s="4"/>
      <c r="DU1214" s="4"/>
      <c r="DV1214" s="4"/>
      <c r="DW1214" s="4"/>
      <c r="DX1214" s="4"/>
      <c r="DY1214" s="4"/>
      <c r="DZ1214" s="4"/>
      <c r="EA1214" s="4"/>
      <c r="EB1214" s="4"/>
      <c r="EC1214" s="4"/>
      <c r="ED1214" s="4"/>
      <c r="EE1214" s="4"/>
      <c r="EF1214" s="4"/>
      <c r="EG1214" s="4"/>
      <c r="EH1214" s="4"/>
      <c r="EI1214" s="4"/>
      <c r="EJ1214" s="4"/>
      <c r="EK1214" s="4"/>
      <c r="EL1214" s="4"/>
      <c r="EM1214" s="4"/>
      <c r="EN1214" s="4"/>
    </row>
    <row r="1215" spans="1:149" hidden="1">
      <c r="A1215" s="11" t="s">
        <v>9940</v>
      </c>
      <c r="B1215" s="3" t="s">
        <v>8373</v>
      </c>
      <c r="C1215" s="3">
        <v>2015</v>
      </c>
      <c r="D1215" s="3" t="s">
        <v>8536</v>
      </c>
      <c r="E1215" s="3" t="s">
        <v>8537</v>
      </c>
      <c r="F1215" s="3">
        <v>1</v>
      </c>
      <c r="G1215" s="3"/>
      <c r="H1215" s="3" t="s">
        <v>8538</v>
      </c>
      <c r="I1215" s="3"/>
      <c r="J1215" s="3"/>
      <c r="K1215" s="3" t="s">
        <v>93</v>
      </c>
      <c r="L1215" s="4"/>
      <c r="M1215" s="3" t="s">
        <v>8511</v>
      </c>
      <c r="T1215" s="3" t="s">
        <v>3877</v>
      </c>
      <c r="V1215" s="3"/>
      <c r="W1215" s="3"/>
      <c r="X1215" s="5" t="s">
        <v>3880</v>
      </c>
      <c r="Y1215" s="5"/>
      <c r="Z1215" s="3">
        <v>1</v>
      </c>
      <c r="AA1215" s="4"/>
      <c r="AB1215" s="4"/>
      <c r="AE1215" s="3"/>
      <c r="AF1215" s="3"/>
      <c r="AG1215" s="4"/>
      <c r="AH1215" s="4"/>
      <c r="AI1215" s="4"/>
      <c r="AJ1215" s="4"/>
      <c r="AK1215" s="3"/>
      <c r="AL1215" s="3"/>
      <c r="AM1215" s="3"/>
      <c r="AN1215" s="3"/>
      <c r="AO1215" s="4"/>
      <c r="AP1215" s="3"/>
      <c r="AQ1215" s="4"/>
      <c r="AR1215" s="3"/>
      <c r="AS1215" s="3"/>
      <c r="AT1215" s="4"/>
      <c r="AU1215" s="3"/>
      <c r="AV1215" s="4"/>
      <c r="AW1215" s="4"/>
      <c r="AX1215" s="4"/>
      <c r="AY1215" s="4"/>
      <c r="AZ1215" s="4"/>
      <c r="BA1215" s="4"/>
      <c r="BB1215" s="4"/>
      <c r="BC1215" s="4"/>
      <c r="BD1215" s="4"/>
      <c r="BE1215" s="4"/>
      <c r="BF1215" s="3"/>
      <c r="BG1215" s="3"/>
      <c r="BH1215" s="3"/>
      <c r="BI1215" s="4"/>
      <c r="BJ1215" s="3"/>
      <c r="BK1215" s="4"/>
      <c r="BL1215" s="4"/>
      <c r="BM1215" s="3"/>
      <c r="BN1215" s="4"/>
      <c r="BO1215" s="4"/>
      <c r="BP1215" s="4"/>
      <c r="BQ1215" s="4"/>
      <c r="BR1215" s="4"/>
      <c r="BS1215" s="4"/>
      <c r="BT1215" s="4"/>
      <c r="BU1215" s="4"/>
      <c r="BV1215" s="4"/>
      <c r="BW1215" s="4"/>
      <c r="BX1215" s="4"/>
      <c r="BY1215" s="4"/>
      <c r="BZ1215" s="4"/>
      <c r="CA1215" s="4"/>
      <c r="CB1215" s="4"/>
      <c r="CC1215" s="4"/>
      <c r="CD1215" s="4"/>
      <c r="CE1215" s="4"/>
      <c r="CF1215" s="4"/>
      <c r="CG1215" s="4"/>
      <c r="CH1215" s="4"/>
      <c r="CI1215" s="4"/>
      <c r="CJ1215" s="4"/>
      <c r="CK1215" s="4"/>
      <c r="CL1215" s="4"/>
      <c r="CM1215" s="4"/>
      <c r="CN1215" s="4"/>
      <c r="CO1215" s="4"/>
      <c r="CP1215" s="4"/>
      <c r="CQ1215" s="3"/>
      <c r="CR1215" s="3"/>
      <c r="CS1215" s="8"/>
      <c r="CT1215" s="4"/>
      <c r="CU1215" s="4"/>
      <c r="CV1215" s="4"/>
      <c r="CW1215" s="4"/>
      <c r="CX1215" s="8"/>
      <c r="CY1215" s="8"/>
      <c r="CZ1215" s="8"/>
      <c r="DA1215" s="8"/>
      <c r="DB1215" s="4"/>
      <c r="DC1215" s="4"/>
      <c r="DD1215" s="4"/>
      <c r="DE1215" s="4"/>
      <c r="DF1215" s="4"/>
      <c r="DG1215" s="4"/>
      <c r="DH1215" s="4"/>
      <c r="DI1215" s="4"/>
      <c r="DJ1215" s="4"/>
      <c r="DK1215" s="4"/>
      <c r="DL1215" s="4"/>
      <c r="DM1215" s="4"/>
      <c r="DN1215" s="4"/>
      <c r="DO1215" s="4"/>
      <c r="DP1215" s="4"/>
      <c r="DQ1215" s="4"/>
      <c r="DR1215" s="4"/>
      <c r="DS1215" s="4"/>
      <c r="DT1215" s="4"/>
      <c r="DU1215" s="4"/>
      <c r="DV1215" s="8"/>
      <c r="DW1215" s="8"/>
      <c r="DX1215" s="8"/>
      <c r="DY1215" s="8"/>
      <c r="DZ1215" s="8"/>
      <c r="EA1215" s="8"/>
      <c r="EB1215" s="4"/>
      <c r="EC1215" s="4"/>
      <c r="ED1215" s="4"/>
    </row>
    <row r="1216" spans="1:149" hidden="1">
      <c r="A1216" s="11" t="s">
        <v>9940</v>
      </c>
      <c r="B1216" s="3" t="s">
        <v>8373</v>
      </c>
      <c r="C1216" s="3">
        <v>2016</v>
      </c>
      <c r="D1216" s="3" t="s">
        <v>6804</v>
      </c>
      <c r="E1216" s="3" t="s">
        <v>8539</v>
      </c>
      <c r="F1216" s="3">
        <v>1</v>
      </c>
      <c r="G1216" s="3"/>
      <c r="H1216" s="3" t="s">
        <v>8540</v>
      </c>
      <c r="I1216" s="3"/>
      <c r="J1216" s="3"/>
      <c r="K1216" s="3" t="s">
        <v>2826</v>
      </c>
      <c r="L1216" s="4"/>
      <c r="M1216" s="3" t="s">
        <v>8534</v>
      </c>
      <c r="T1216" s="3" t="s">
        <v>6806</v>
      </c>
      <c r="V1216" s="3"/>
      <c r="W1216" s="4"/>
      <c r="X1216" s="5" t="s">
        <v>6809</v>
      </c>
      <c r="Y1216" s="5"/>
      <c r="Z1216" s="3">
        <v>1</v>
      </c>
      <c r="AA1216" s="4"/>
      <c r="AB1216" s="4"/>
      <c r="AE1216" s="3"/>
      <c r="AF1216" s="3"/>
      <c r="AG1216" s="4"/>
      <c r="AH1216" s="4"/>
      <c r="AI1216" s="4"/>
      <c r="AJ1216" s="4"/>
      <c r="AK1216" s="3"/>
      <c r="AL1216" s="7"/>
      <c r="AM1216" s="3"/>
      <c r="AN1216" s="3"/>
      <c r="AO1216" s="4"/>
      <c r="AP1216" s="4"/>
      <c r="AQ1216" s="4"/>
      <c r="AR1216" s="4"/>
      <c r="AS1216" s="3"/>
      <c r="AT1216" s="4"/>
      <c r="AU1216" s="3"/>
      <c r="AV1216" s="4"/>
      <c r="AW1216" s="4"/>
      <c r="AX1216" s="4"/>
      <c r="AY1216" s="4"/>
      <c r="AZ1216" s="4"/>
      <c r="BA1216" s="4"/>
      <c r="BB1216" s="4"/>
      <c r="BC1216" s="4"/>
      <c r="BD1216" s="4"/>
      <c r="BE1216" s="4"/>
      <c r="BF1216" s="3"/>
      <c r="BG1216" s="3"/>
      <c r="BH1216" s="3"/>
      <c r="BI1216" s="4"/>
      <c r="BJ1216" s="3"/>
      <c r="BK1216" s="4"/>
      <c r="BL1216" s="4"/>
      <c r="BM1216" s="3"/>
      <c r="BN1216" s="4"/>
      <c r="BO1216" s="4"/>
      <c r="BP1216" s="4"/>
      <c r="BQ1216" s="4"/>
      <c r="BR1216" s="4"/>
      <c r="BS1216" s="4"/>
      <c r="BT1216" s="4"/>
      <c r="BU1216" s="4"/>
      <c r="BV1216" s="4"/>
      <c r="BW1216" s="4"/>
      <c r="BX1216" s="4"/>
      <c r="BY1216" s="4"/>
      <c r="BZ1216" s="4"/>
      <c r="CA1216" s="4"/>
      <c r="CB1216" s="4"/>
      <c r="CC1216" s="4"/>
      <c r="CD1216" s="4"/>
      <c r="CE1216" s="4"/>
      <c r="CF1216" s="4"/>
      <c r="CG1216" s="4"/>
      <c r="CH1216" s="4"/>
      <c r="CI1216" s="4"/>
      <c r="CJ1216" s="4"/>
      <c r="CK1216" s="4"/>
      <c r="CL1216" s="4"/>
      <c r="CM1216" s="4"/>
      <c r="CN1216" s="4"/>
      <c r="CO1216" s="4"/>
      <c r="CP1216" s="4"/>
      <c r="CQ1216" s="4"/>
      <c r="CR1216" s="4"/>
      <c r="CS1216" s="4"/>
      <c r="CT1216" s="4"/>
      <c r="CU1216" s="4"/>
      <c r="CV1216" s="4"/>
      <c r="CW1216" s="4"/>
      <c r="CX1216" s="4"/>
      <c r="CY1216" s="4"/>
      <c r="CZ1216" s="4"/>
      <c r="DA1216" s="4"/>
      <c r="DB1216" s="4"/>
      <c r="DC1216" s="4"/>
      <c r="DD1216" s="3"/>
      <c r="DE1216" s="3"/>
      <c r="DF1216" s="8"/>
      <c r="DG1216" s="4"/>
      <c r="DH1216" s="4"/>
      <c r="DI1216" s="4"/>
      <c r="DJ1216" s="4"/>
      <c r="DK1216" s="8"/>
      <c r="DL1216" s="8"/>
      <c r="DM1216" s="8"/>
      <c r="DN1216" s="8"/>
      <c r="DO1216" s="4"/>
      <c r="DP1216" s="4"/>
      <c r="DQ1216" s="4"/>
      <c r="DR1216" s="4"/>
      <c r="DS1216" s="4"/>
      <c r="DT1216" s="4"/>
      <c r="DU1216" s="4"/>
      <c r="DV1216" s="4"/>
      <c r="DW1216" s="4"/>
      <c r="DX1216" s="4"/>
      <c r="DY1216" s="4"/>
      <c r="DZ1216" s="4"/>
      <c r="EA1216" s="4"/>
      <c r="EB1216" s="4"/>
      <c r="EC1216" s="4"/>
      <c r="ED1216" s="4"/>
      <c r="EE1216" s="4"/>
      <c r="EF1216" s="4"/>
      <c r="EG1216" s="4"/>
      <c r="EH1216" s="4"/>
      <c r="EI1216" s="8"/>
      <c r="EJ1216" s="8"/>
      <c r="EK1216" s="8"/>
      <c r="EL1216" s="8"/>
      <c r="EM1216" s="8"/>
      <c r="EN1216" s="8"/>
      <c r="EO1216" s="4"/>
      <c r="EP1216" s="4"/>
      <c r="EQ1216" s="4"/>
    </row>
    <row r="1217" spans="1:153" hidden="1">
      <c r="A1217" s="11" t="s">
        <v>9940</v>
      </c>
      <c r="B1217" s="3" t="s">
        <v>8379</v>
      </c>
      <c r="C1217" s="3">
        <v>2001</v>
      </c>
      <c r="D1217" s="3" t="s">
        <v>8541</v>
      </c>
      <c r="E1217" s="3" t="s">
        <v>8542</v>
      </c>
      <c r="F1217" s="3">
        <v>1</v>
      </c>
      <c r="G1217" s="4"/>
      <c r="H1217" s="3" t="s">
        <v>8544</v>
      </c>
      <c r="I1217" s="3"/>
      <c r="J1217" s="3"/>
      <c r="K1217" s="4"/>
      <c r="L1217" s="4"/>
      <c r="M1217" s="4"/>
      <c r="T1217" s="4"/>
      <c r="V1217" s="3"/>
      <c r="W1217" s="3"/>
      <c r="X1217" s="5" t="s">
        <v>8543</v>
      </c>
      <c r="Y1217" s="5"/>
      <c r="Z1217" s="3">
        <v>1</v>
      </c>
      <c r="AA1217" s="4"/>
      <c r="AB1217" s="3"/>
      <c r="AE1217" s="3"/>
      <c r="AF1217" s="3"/>
      <c r="AG1217" s="3"/>
      <c r="AH1217" s="4"/>
      <c r="AI1217" s="4"/>
      <c r="AJ1217" s="4"/>
      <c r="AK1217" s="3"/>
      <c r="AL1217" s="3"/>
      <c r="AM1217" s="3"/>
      <c r="AN1217" s="3"/>
      <c r="AO1217" s="4"/>
      <c r="AP1217" s="4"/>
      <c r="AQ1217" s="3"/>
      <c r="AR1217" s="4"/>
      <c r="AS1217" s="4"/>
      <c r="AT1217" s="4"/>
      <c r="AU1217" s="4"/>
      <c r="AV1217" s="4"/>
      <c r="AW1217" s="4"/>
      <c r="AX1217" s="4"/>
      <c r="AY1217" s="4"/>
      <c r="AZ1217" s="4"/>
      <c r="BA1217" s="3"/>
      <c r="BB1217" s="4"/>
      <c r="BC1217" s="3"/>
      <c r="BD1217" s="3"/>
      <c r="BE1217" s="3"/>
      <c r="BF1217" s="4"/>
      <c r="BG1217" s="3"/>
      <c r="BH1217" s="3"/>
      <c r="BI1217" s="4"/>
      <c r="BJ1217" s="4"/>
      <c r="BK1217" s="4"/>
      <c r="BL1217" s="4"/>
      <c r="BM1217" s="4"/>
      <c r="BN1217" s="4"/>
      <c r="BO1217" s="4"/>
      <c r="BP1217" s="4"/>
      <c r="BQ1217" s="4"/>
      <c r="BR1217" s="4"/>
      <c r="BS1217" s="4"/>
      <c r="BT1217" s="4"/>
      <c r="BU1217" s="4"/>
      <c r="BV1217" s="4"/>
      <c r="BW1217" s="4"/>
      <c r="BX1217" s="4"/>
      <c r="BY1217" s="4"/>
      <c r="BZ1217" s="4"/>
      <c r="CA1217" s="4"/>
      <c r="CB1217" s="4"/>
      <c r="CC1217" s="4"/>
      <c r="CD1217" s="4"/>
      <c r="CE1217" s="4"/>
      <c r="CF1217" s="4"/>
      <c r="CG1217" s="4"/>
      <c r="CH1217" s="4"/>
      <c r="CI1217" s="4"/>
      <c r="CJ1217" s="4"/>
      <c r="CK1217" s="4"/>
      <c r="CL1217" s="4"/>
      <c r="CM1217" s="4"/>
      <c r="CN1217" s="4"/>
      <c r="CO1217" s="4"/>
      <c r="CP1217" s="4"/>
      <c r="CQ1217" s="4"/>
      <c r="CR1217" s="4"/>
      <c r="CS1217" s="4"/>
      <c r="CT1217" s="4"/>
      <c r="CU1217" s="4"/>
      <c r="CV1217" s="4"/>
      <c r="CW1217" s="4"/>
      <c r="CX1217" s="4"/>
      <c r="CY1217" s="4"/>
      <c r="CZ1217" s="3"/>
      <c r="DA1217" s="3"/>
      <c r="DB1217" s="8"/>
      <c r="DC1217" s="4"/>
      <c r="DD1217" s="4"/>
      <c r="DE1217" s="4"/>
      <c r="DF1217" s="4"/>
      <c r="DG1217" s="8"/>
      <c r="DH1217" s="8"/>
      <c r="DI1217" s="8"/>
      <c r="DJ1217" s="8"/>
      <c r="DK1217" s="4"/>
      <c r="DL1217" s="4"/>
      <c r="DM1217" s="4"/>
      <c r="DN1217" s="4"/>
      <c r="DO1217" s="4"/>
      <c r="DP1217" s="4"/>
      <c r="DQ1217" s="4"/>
      <c r="DR1217" s="4"/>
      <c r="DS1217" s="4"/>
      <c r="DT1217" s="4"/>
      <c r="DU1217" s="4"/>
      <c r="DV1217" s="4"/>
      <c r="DW1217" s="4"/>
      <c r="DX1217" s="4"/>
      <c r="DY1217" s="4"/>
      <c r="DZ1217" s="4"/>
      <c r="EA1217" s="4"/>
      <c r="EB1217" s="4"/>
      <c r="EC1217" s="4"/>
      <c r="ED1217" s="4"/>
      <c r="EE1217" s="8"/>
      <c r="EF1217" s="8"/>
      <c r="EG1217" s="8"/>
      <c r="EH1217" s="8"/>
      <c r="EI1217" s="8"/>
      <c r="EJ1217" s="8"/>
      <c r="EK1217" s="4"/>
      <c r="EL1217" s="4"/>
      <c r="EM1217" s="4"/>
    </row>
    <row r="1218" spans="1:153" hidden="1">
      <c r="A1218" s="11" t="s">
        <v>9940</v>
      </c>
      <c r="B1218" s="3" t="s">
        <v>8373</v>
      </c>
      <c r="C1218" s="3">
        <v>2014</v>
      </c>
      <c r="D1218" s="3" t="s">
        <v>3721</v>
      </c>
      <c r="E1218" s="3" t="s">
        <v>8545</v>
      </c>
      <c r="F1218" s="3">
        <v>1</v>
      </c>
      <c r="G1218" s="3"/>
      <c r="H1218" s="3" t="s">
        <v>8546</v>
      </c>
      <c r="I1218" s="3"/>
      <c r="J1218" s="3"/>
      <c r="K1218" s="3" t="s">
        <v>40</v>
      </c>
      <c r="L1218" s="4"/>
      <c r="M1218" s="3" t="s">
        <v>8500</v>
      </c>
      <c r="T1218" s="3" t="s">
        <v>3723</v>
      </c>
      <c r="V1218" s="3"/>
      <c r="W1218" s="4"/>
      <c r="X1218" s="5" t="s">
        <v>3726</v>
      </c>
      <c r="Y1218" s="5"/>
      <c r="Z1218" s="3">
        <v>1</v>
      </c>
      <c r="AA1218" s="4"/>
      <c r="AB1218" s="4"/>
      <c r="AE1218" s="3"/>
      <c r="AF1218" s="3"/>
      <c r="AG1218" s="4"/>
      <c r="AH1218" s="4"/>
      <c r="AI1218" s="4"/>
      <c r="AJ1218" s="4"/>
      <c r="AK1218" s="3"/>
      <c r="AL1218" s="3"/>
      <c r="AM1218" s="3"/>
      <c r="AN1218" s="3"/>
      <c r="AO1218" s="4"/>
      <c r="AP1218" s="3"/>
      <c r="AQ1218" s="4"/>
      <c r="AR1218" s="3"/>
      <c r="AS1218" s="3"/>
      <c r="AT1218" s="4"/>
      <c r="AU1218" s="3"/>
      <c r="AV1218" s="4"/>
      <c r="AW1218" s="4"/>
      <c r="AX1218" s="4"/>
      <c r="AY1218" s="4"/>
      <c r="AZ1218" s="4"/>
      <c r="BA1218" s="4"/>
      <c r="BB1218" s="4"/>
      <c r="BC1218" s="4"/>
      <c r="BD1218" s="4"/>
      <c r="BE1218" s="4"/>
      <c r="BF1218" s="3"/>
      <c r="BG1218" s="3"/>
      <c r="BH1218" s="3"/>
      <c r="BI1218" s="4"/>
      <c r="BJ1218" s="3"/>
      <c r="BK1218" s="4"/>
      <c r="BL1218" s="4"/>
      <c r="BM1218" s="4"/>
      <c r="BN1218" s="3"/>
      <c r="BO1218" s="4"/>
      <c r="BP1218" s="4"/>
      <c r="BQ1218" s="4"/>
      <c r="BR1218" s="4"/>
      <c r="BS1218" s="4"/>
      <c r="BT1218" s="4"/>
      <c r="BU1218" s="4"/>
      <c r="BV1218" s="4"/>
      <c r="BW1218" s="4"/>
      <c r="BX1218" s="4"/>
      <c r="BY1218" s="4"/>
      <c r="BZ1218" s="4"/>
      <c r="CA1218" s="4"/>
      <c r="CB1218" s="4"/>
      <c r="CC1218" s="4"/>
      <c r="CD1218" s="4"/>
      <c r="CE1218" s="4"/>
      <c r="CF1218" s="4"/>
      <c r="CG1218" s="4"/>
      <c r="CH1218" s="4"/>
      <c r="CI1218" s="4"/>
      <c r="CJ1218" s="4"/>
      <c r="CK1218" s="4"/>
      <c r="CL1218" s="4"/>
      <c r="CM1218" s="4"/>
      <c r="CN1218" s="4"/>
      <c r="CO1218" s="4"/>
      <c r="CP1218" s="4"/>
      <c r="CQ1218" s="4"/>
      <c r="CR1218" s="4"/>
      <c r="CS1218" s="4"/>
      <c r="CT1218" s="4"/>
      <c r="CU1218" s="4"/>
      <c r="CV1218" s="4"/>
      <c r="CW1218" s="4"/>
      <c r="CX1218" s="4"/>
      <c r="CY1218" s="4"/>
      <c r="CZ1218" s="4"/>
      <c r="DA1218" s="4"/>
      <c r="DB1218" s="4"/>
      <c r="DC1218" s="4"/>
      <c r="DD1218" s="4"/>
      <c r="DE1218" s="4"/>
      <c r="DF1218" s="4"/>
      <c r="DG1218" s="4"/>
      <c r="DH1218" s="3"/>
      <c r="DI1218" s="3"/>
      <c r="DJ1218" s="8"/>
      <c r="DK1218" s="4"/>
      <c r="DL1218" s="4"/>
      <c r="DM1218" s="4"/>
      <c r="DN1218" s="4"/>
      <c r="DO1218" s="3"/>
      <c r="DP1218" s="8"/>
      <c r="DQ1218" s="8"/>
      <c r="DR1218" s="8"/>
      <c r="DS1218" s="4"/>
      <c r="DT1218" s="4"/>
      <c r="DU1218" s="4"/>
      <c r="DV1218" s="4"/>
      <c r="DW1218" s="4"/>
      <c r="DX1218" s="4"/>
      <c r="DY1218" s="4"/>
      <c r="DZ1218" s="4"/>
      <c r="EA1218" s="4"/>
      <c r="EB1218" s="4"/>
      <c r="EC1218" s="4"/>
      <c r="ED1218" s="4"/>
      <c r="EE1218" s="4"/>
      <c r="EF1218" s="4"/>
      <c r="EG1218" s="4"/>
      <c r="EH1218" s="4"/>
      <c r="EI1218" s="4"/>
      <c r="EJ1218" s="4"/>
      <c r="EK1218" s="4"/>
      <c r="EL1218" s="4"/>
      <c r="EM1218" s="8"/>
      <c r="EN1218" s="8"/>
      <c r="EO1218" s="8"/>
      <c r="EP1218" s="8"/>
      <c r="EQ1218" s="8"/>
      <c r="ER1218" s="8"/>
      <c r="ES1218" s="4"/>
      <c r="ET1218" s="4"/>
      <c r="EU1218" s="4"/>
    </row>
    <row r="1219" spans="1:153" hidden="1">
      <c r="A1219" s="11" t="s">
        <v>9940</v>
      </c>
      <c r="B1219" s="3" t="s">
        <v>8373</v>
      </c>
      <c r="C1219" s="3">
        <v>2019</v>
      </c>
      <c r="D1219" s="3" t="s">
        <v>8547</v>
      </c>
      <c r="E1219" s="3" t="s">
        <v>8548</v>
      </c>
      <c r="F1219" s="3">
        <v>1</v>
      </c>
      <c r="G1219" s="3"/>
      <c r="H1219" s="3" t="s">
        <v>8553</v>
      </c>
      <c r="I1219" s="3"/>
      <c r="J1219" s="3"/>
      <c r="K1219" s="3" t="s">
        <v>8549</v>
      </c>
      <c r="L1219" s="4"/>
      <c r="M1219" s="3" t="s">
        <v>8550</v>
      </c>
      <c r="T1219" s="3" t="s">
        <v>8551</v>
      </c>
      <c r="V1219" s="3"/>
      <c r="W1219" s="3"/>
      <c r="X1219" s="5" t="s">
        <v>8552</v>
      </c>
      <c r="Y1219" s="5"/>
      <c r="Z1219" s="3">
        <v>1</v>
      </c>
      <c r="AA1219" s="4"/>
      <c r="AB1219" s="3"/>
      <c r="AE1219" s="3"/>
      <c r="AF1219" s="3"/>
      <c r="AG1219" s="4"/>
      <c r="AH1219" s="4"/>
      <c r="AI1219" s="4"/>
      <c r="AJ1219" s="4"/>
      <c r="AK1219" s="3"/>
      <c r="AL1219" s="7"/>
      <c r="AM1219" s="3"/>
      <c r="AN1219" s="3"/>
      <c r="AO1219" s="4"/>
      <c r="AP1219" s="4"/>
      <c r="AQ1219" s="4"/>
      <c r="AR1219" s="4"/>
      <c r="AS1219" s="4"/>
      <c r="AT1219" s="4"/>
      <c r="AU1219" s="3"/>
      <c r="AV1219" s="4"/>
      <c r="AW1219" s="4"/>
      <c r="AX1219" s="4"/>
      <c r="AY1219" s="4"/>
      <c r="AZ1219" s="4"/>
      <c r="BA1219" s="4"/>
      <c r="BB1219" s="4"/>
      <c r="BC1219" s="4"/>
      <c r="BD1219" s="4"/>
      <c r="BE1219" s="4"/>
      <c r="BF1219" s="3"/>
      <c r="BG1219" s="3"/>
      <c r="BH1219" s="3"/>
      <c r="BI1219" s="4"/>
      <c r="BJ1219" s="3"/>
      <c r="BK1219" s="4"/>
      <c r="BL1219" s="4"/>
      <c r="BM1219" s="3"/>
      <c r="BN1219" s="4"/>
      <c r="BO1219" s="4"/>
      <c r="BP1219" s="4"/>
      <c r="BQ1219" s="4"/>
      <c r="BR1219" s="4"/>
      <c r="BS1219" s="4"/>
      <c r="BT1219" s="4"/>
      <c r="BU1219" s="4"/>
      <c r="BV1219" s="4"/>
      <c r="BW1219" s="4"/>
      <c r="BX1219" s="4"/>
      <c r="BY1219" s="4"/>
      <c r="BZ1219" s="4"/>
      <c r="CA1219" s="4"/>
      <c r="CB1219" s="4"/>
      <c r="CC1219" s="4"/>
      <c r="CD1219" s="4"/>
      <c r="CE1219" s="4"/>
      <c r="CF1219" s="4"/>
      <c r="CG1219" s="4"/>
      <c r="CH1219" s="4"/>
      <c r="CI1219" s="4"/>
      <c r="CJ1219" s="4"/>
      <c r="CK1219" s="4"/>
      <c r="CL1219" s="4"/>
      <c r="CM1219" s="4"/>
      <c r="CN1219" s="4"/>
      <c r="CO1219" s="4"/>
      <c r="CP1219" s="4"/>
      <c r="CQ1219" s="4"/>
      <c r="CR1219" s="4"/>
      <c r="CS1219" s="4"/>
      <c r="CT1219" s="4"/>
      <c r="CU1219" s="4"/>
      <c r="CV1219" s="4"/>
      <c r="CW1219" s="4"/>
      <c r="CX1219" s="4"/>
      <c r="CY1219" s="4"/>
      <c r="CZ1219" s="4"/>
      <c r="DA1219" s="4"/>
      <c r="DB1219" s="4"/>
      <c r="DC1219" s="3"/>
      <c r="DD1219" s="3"/>
      <c r="DE1219" s="8"/>
      <c r="DF1219" s="4"/>
      <c r="DG1219" s="4"/>
      <c r="DH1219" s="4"/>
      <c r="DI1219" s="4"/>
      <c r="DJ1219" s="8"/>
      <c r="DK1219" s="8"/>
      <c r="DL1219" s="8"/>
      <c r="DM1219" s="8"/>
      <c r="DN1219" s="4"/>
      <c r="DO1219" s="4"/>
      <c r="DP1219" s="4"/>
      <c r="DQ1219" s="4"/>
      <c r="DR1219" s="4"/>
      <c r="DS1219" s="4"/>
      <c r="DT1219" s="4"/>
      <c r="DU1219" s="4"/>
      <c r="DV1219" s="4"/>
      <c r="DW1219" s="4"/>
      <c r="DX1219" s="4"/>
      <c r="DY1219" s="4"/>
      <c r="DZ1219" s="4"/>
      <c r="EA1219" s="4"/>
      <c r="EB1219" s="4"/>
      <c r="EC1219" s="4"/>
      <c r="ED1219" s="4"/>
      <c r="EE1219" s="4"/>
      <c r="EF1219" s="4"/>
      <c r="EG1219" s="4"/>
      <c r="EH1219" s="8"/>
      <c r="EI1219" s="8"/>
      <c r="EJ1219" s="8"/>
      <c r="EK1219" s="8"/>
      <c r="EL1219" s="8"/>
      <c r="EM1219" s="8"/>
      <c r="EN1219" s="4"/>
      <c r="EO1219" s="4"/>
      <c r="EP1219" s="4"/>
    </row>
    <row r="1220" spans="1:153" hidden="1">
      <c r="A1220" s="11" t="s">
        <v>9940</v>
      </c>
      <c r="B1220" s="3" t="s">
        <v>8373</v>
      </c>
      <c r="C1220" s="3">
        <v>2008</v>
      </c>
      <c r="D1220" s="3" t="s">
        <v>5796</v>
      </c>
      <c r="E1220" s="3" t="s">
        <v>8554</v>
      </c>
      <c r="F1220" s="3">
        <v>1</v>
      </c>
      <c r="G1220" s="3"/>
      <c r="H1220" s="3" t="s">
        <v>8555</v>
      </c>
      <c r="I1220" s="3"/>
      <c r="J1220" s="3"/>
      <c r="K1220" s="3" t="s">
        <v>470</v>
      </c>
      <c r="L1220" s="4"/>
      <c r="M1220" s="12">
        <v>11720</v>
      </c>
      <c r="T1220" s="3" t="s">
        <v>5798</v>
      </c>
      <c r="V1220" s="3"/>
      <c r="W1220" s="4"/>
      <c r="X1220" s="5" t="s">
        <v>5801</v>
      </c>
      <c r="Y1220" s="5"/>
      <c r="Z1220" s="3">
        <v>1</v>
      </c>
      <c r="AA1220" s="4"/>
      <c r="AB1220" s="4"/>
      <c r="AE1220" s="3"/>
      <c r="AF1220" s="3"/>
      <c r="AG1220" s="4"/>
      <c r="AH1220" s="4"/>
      <c r="AI1220" s="4"/>
      <c r="AJ1220" s="4"/>
      <c r="AK1220" s="3"/>
      <c r="AL1220" s="3"/>
      <c r="AM1220" s="3"/>
      <c r="AN1220" s="3"/>
      <c r="AO1220" s="4"/>
      <c r="AP1220" s="3"/>
      <c r="AQ1220" s="4"/>
      <c r="AR1220" s="3"/>
      <c r="AS1220" s="3"/>
      <c r="AT1220" s="4"/>
      <c r="AU1220" s="3"/>
      <c r="AV1220" s="4"/>
      <c r="AW1220" s="4"/>
      <c r="AX1220" s="4"/>
      <c r="AY1220" s="4"/>
      <c r="AZ1220" s="4"/>
      <c r="BA1220" s="4"/>
      <c r="BB1220" s="4"/>
      <c r="BC1220" s="4"/>
      <c r="BD1220" s="4"/>
      <c r="BE1220" s="4"/>
      <c r="BF1220" s="3"/>
      <c r="BG1220" s="3"/>
      <c r="BH1220" s="3"/>
      <c r="BI1220" s="4"/>
      <c r="BJ1220" s="3"/>
      <c r="BK1220" s="4"/>
      <c r="BL1220" s="3"/>
      <c r="BM1220" s="4"/>
      <c r="BN1220" s="4"/>
      <c r="BO1220" s="4"/>
      <c r="BP1220" s="4"/>
      <c r="BQ1220" s="4"/>
      <c r="BR1220" s="4"/>
      <c r="BS1220" s="4"/>
      <c r="BT1220" s="4"/>
      <c r="BU1220" s="4"/>
      <c r="BV1220" s="4"/>
      <c r="BW1220" s="4"/>
      <c r="BX1220" s="4"/>
      <c r="BY1220" s="4"/>
      <c r="BZ1220" s="4"/>
      <c r="CA1220" s="4"/>
      <c r="CB1220" s="4"/>
      <c r="CC1220" s="4"/>
      <c r="CD1220" s="4"/>
      <c r="CE1220" s="4"/>
      <c r="CF1220" s="4"/>
      <c r="CG1220" s="4"/>
      <c r="CH1220" s="4"/>
      <c r="CI1220" s="4"/>
      <c r="CJ1220" s="4"/>
      <c r="CK1220" s="4"/>
      <c r="CL1220" s="4"/>
      <c r="CM1220" s="4"/>
      <c r="CN1220" s="4"/>
      <c r="CO1220" s="3"/>
      <c r="CP1220" s="3"/>
      <c r="CQ1220" s="8"/>
      <c r="CR1220" s="4"/>
      <c r="CS1220" s="4"/>
      <c r="CT1220" s="4"/>
      <c r="CU1220" s="4"/>
      <c r="CV1220" s="8"/>
      <c r="CW1220" s="8"/>
      <c r="CX1220" s="8"/>
      <c r="CY1220" s="8"/>
      <c r="CZ1220" s="4"/>
      <c r="DA1220" s="4"/>
      <c r="DB1220" s="4"/>
      <c r="DC1220" s="4"/>
      <c r="DD1220" s="4"/>
      <c r="DE1220" s="4"/>
      <c r="DF1220" s="4"/>
      <c r="DG1220" s="4"/>
      <c r="DH1220" s="4"/>
      <c r="DI1220" s="4"/>
      <c r="DJ1220" s="4"/>
      <c r="DK1220" s="4"/>
      <c r="DL1220" s="4"/>
      <c r="DM1220" s="4"/>
      <c r="DN1220" s="4"/>
      <c r="DO1220" s="4"/>
      <c r="DP1220" s="4"/>
      <c r="DQ1220" s="4"/>
      <c r="DR1220" s="4"/>
      <c r="DS1220" s="4"/>
      <c r="DT1220" s="8"/>
      <c r="DU1220" s="8"/>
      <c r="DV1220" s="8"/>
      <c r="DW1220" s="8"/>
      <c r="DX1220" s="8"/>
      <c r="DY1220" s="8"/>
      <c r="DZ1220" s="4"/>
      <c r="EA1220" s="4"/>
      <c r="EB1220" s="4"/>
    </row>
    <row r="1221" spans="1:153" hidden="1">
      <c r="A1221" s="11" t="s">
        <v>9940</v>
      </c>
      <c r="B1221" s="3" t="s">
        <v>8373</v>
      </c>
      <c r="C1221" s="3">
        <v>2016</v>
      </c>
      <c r="D1221" s="3" t="s">
        <v>1588</v>
      </c>
      <c r="E1221" s="3" t="s">
        <v>8556</v>
      </c>
      <c r="F1221" s="3">
        <v>1</v>
      </c>
      <c r="G1221" s="3"/>
      <c r="H1221" s="3" t="s">
        <v>8558</v>
      </c>
      <c r="I1221" s="3"/>
      <c r="J1221" s="3"/>
      <c r="K1221" s="3" t="s">
        <v>1589</v>
      </c>
      <c r="L1221" s="4"/>
      <c r="M1221" s="3" t="s">
        <v>8557</v>
      </c>
      <c r="T1221" s="3" t="s">
        <v>1591</v>
      </c>
      <c r="V1221" s="3"/>
      <c r="W1221" s="4"/>
      <c r="X1221" s="5" t="s">
        <v>1595</v>
      </c>
      <c r="Y1221" s="5"/>
      <c r="Z1221" s="3">
        <v>1</v>
      </c>
      <c r="AA1221" s="4"/>
      <c r="AB1221" s="4"/>
      <c r="AE1221" s="3"/>
      <c r="AF1221" s="3"/>
      <c r="AG1221" s="4"/>
      <c r="AH1221" s="4"/>
      <c r="AI1221" s="4"/>
      <c r="AJ1221" s="4"/>
      <c r="AK1221" s="3"/>
      <c r="AL1221" s="3"/>
      <c r="AM1221" s="3"/>
      <c r="AN1221" s="3"/>
      <c r="AO1221" s="4"/>
      <c r="AP1221" s="3"/>
      <c r="AQ1221" s="4"/>
      <c r="AR1221" s="3"/>
      <c r="AS1221" s="3"/>
      <c r="AT1221" s="4"/>
      <c r="AU1221" s="3"/>
      <c r="AV1221" s="4"/>
      <c r="AW1221" s="4"/>
      <c r="AX1221" s="4"/>
      <c r="AY1221" s="4"/>
      <c r="AZ1221" s="4"/>
      <c r="BA1221" s="4"/>
      <c r="BB1221" s="4"/>
      <c r="BC1221" s="4"/>
      <c r="BD1221" s="4"/>
      <c r="BE1221" s="4"/>
      <c r="BF1221" s="3"/>
      <c r="BG1221" s="3"/>
      <c r="BH1221" s="3"/>
      <c r="BI1221" s="4"/>
      <c r="BJ1221" s="3"/>
      <c r="BK1221" s="4"/>
      <c r="BL1221" s="4"/>
      <c r="BM1221" s="3"/>
      <c r="BN1221" s="4"/>
      <c r="BO1221" s="4"/>
      <c r="BP1221" s="4"/>
      <c r="BQ1221" s="4"/>
      <c r="BR1221" s="4"/>
      <c r="BS1221" s="4"/>
      <c r="BT1221" s="4"/>
      <c r="BU1221" s="4"/>
      <c r="BV1221" s="4"/>
      <c r="BW1221" s="4"/>
      <c r="BX1221" s="4"/>
      <c r="BY1221" s="4"/>
      <c r="BZ1221" s="4"/>
      <c r="CA1221" s="4"/>
      <c r="CB1221" s="4"/>
      <c r="CC1221" s="4"/>
      <c r="CD1221" s="4"/>
      <c r="CE1221" s="4"/>
      <c r="CF1221" s="4"/>
      <c r="CG1221" s="4"/>
      <c r="CH1221" s="4"/>
      <c r="CI1221" s="4"/>
      <c r="CJ1221" s="4"/>
      <c r="CK1221" s="4"/>
      <c r="CL1221" s="4"/>
      <c r="CM1221" s="4"/>
      <c r="CN1221" s="4"/>
      <c r="CO1221" s="4"/>
      <c r="CP1221" s="4"/>
      <c r="CQ1221" s="4"/>
      <c r="CR1221" s="4"/>
      <c r="CS1221" s="4"/>
      <c r="CT1221" s="4"/>
      <c r="CU1221" s="4"/>
      <c r="CV1221" s="4"/>
      <c r="CW1221" s="4"/>
      <c r="CX1221" s="4"/>
      <c r="CY1221" s="4"/>
      <c r="CZ1221" s="4"/>
      <c r="DA1221" s="4"/>
      <c r="DB1221" s="4"/>
      <c r="DC1221" s="4"/>
      <c r="DD1221" s="3"/>
      <c r="DE1221" s="3"/>
      <c r="DF1221" s="8"/>
      <c r="DG1221" s="4"/>
      <c r="DH1221" s="4"/>
      <c r="DI1221" s="4"/>
      <c r="DJ1221" s="4"/>
      <c r="DK1221" s="8"/>
      <c r="DL1221" s="8"/>
      <c r="DM1221" s="8"/>
      <c r="DN1221" s="8"/>
      <c r="DO1221" s="4"/>
      <c r="DP1221" s="4"/>
      <c r="DQ1221" s="4"/>
      <c r="DR1221" s="4"/>
      <c r="DS1221" s="4"/>
      <c r="DT1221" s="4"/>
      <c r="DU1221" s="4"/>
      <c r="DV1221" s="4"/>
      <c r="DW1221" s="4"/>
      <c r="DX1221" s="4"/>
      <c r="DY1221" s="4"/>
      <c r="DZ1221" s="4"/>
      <c r="EA1221" s="4"/>
      <c r="EB1221" s="4"/>
      <c r="EC1221" s="4"/>
      <c r="ED1221" s="4"/>
      <c r="EE1221" s="4"/>
      <c r="EF1221" s="4"/>
      <c r="EG1221" s="4"/>
      <c r="EH1221" s="4"/>
      <c r="EI1221" s="8"/>
      <c r="EJ1221" s="8"/>
      <c r="EK1221" s="8"/>
      <c r="EL1221" s="8"/>
      <c r="EM1221" s="8"/>
      <c r="EN1221" s="8"/>
      <c r="EO1221" s="4"/>
      <c r="EP1221" s="4"/>
      <c r="EQ1221" s="4"/>
    </row>
    <row r="1222" spans="1:153" hidden="1">
      <c r="A1222" s="11" t="s">
        <v>9940</v>
      </c>
      <c r="B1222" s="3" t="s">
        <v>8379</v>
      </c>
      <c r="C1222" s="3">
        <v>2014</v>
      </c>
      <c r="D1222" s="3" t="s">
        <v>7003</v>
      </c>
      <c r="E1222" s="3" t="s">
        <v>8559</v>
      </c>
      <c r="F1222" s="3">
        <v>1</v>
      </c>
      <c r="G1222" s="4"/>
      <c r="H1222" s="3" t="s">
        <v>7006</v>
      </c>
      <c r="I1222" s="3"/>
      <c r="J1222" s="3"/>
      <c r="K1222" s="4"/>
      <c r="L1222" s="4"/>
      <c r="M1222" s="4"/>
      <c r="T1222" s="4"/>
      <c r="V1222" s="3"/>
      <c r="W1222" s="4"/>
      <c r="X1222" s="5" t="s">
        <v>7007</v>
      </c>
      <c r="Y1222" s="5"/>
      <c r="Z1222" s="3">
        <v>1</v>
      </c>
      <c r="AA1222" s="4"/>
      <c r="AB1222" s="4"/>
      <c r="AE1222" s="3"/>
      <c r="AF1222" s="3"/>
      <c r="AG1222" s="3"/>
      <c r="AH1222" s="4"/>
      <c r="AI1222" s="4"/>
      <c r="AJ1222" s="4"/>
      <c r="AK1222" s="3"/>
      <c r="AL1222" s="3"/>
      <c r="AM1222" s="3"/>
      <c r="AN1222" s="3"/>
      <c r="AO1222" s="4"/>
      <c r="AP1222" s="4"/>
      <c r="AQ1222" s="4"/>
      <c r="AR1222" s="4"/>
      <c r="AS1222" s="4"/>
      <c r="AT1222" s="4"/>
      <c r="AU1222" s="4"/>
      <c r="AV1222" s="4"/>
      <c r="AW1222" s="4"/>
      <c r="AX1222" s="4"/>
      <c r="AY1222" s="4"/>
      <c r="AZ1222" s="4"/>
      <c r="BA1222" s="3"/>
      <c r="BB1222" s="4"/>
      <c r="BC1222" s="3"/>
      <c r="BD1222" s="3"/>
      <c r="BE1222" s="3"/>
      <c r="BF1222" s="4"/>
      <c r="BG1222" s="3"/>
      <c r="BH1222" s="3"/>
      <c r="BI1222" s="4"/>
      <c r="BJ1222" s="4"/>
      <c r="BK1222" s="4"/>
      <c r="BL1222" s="4"/>
      <c r="BM1222" s="4"/>
      <c r="BN1222" s="4"/>
      <c r="BO1222" s="4"/>
      <c r="BP1222" s="4"/>
      <c r="BQ1222" s="4"/>
      <c r="BR1222" s="4"/>
      <c r="BS1222" s="4"/>
      <c r="BT1222" s="4"/>
      <c r="BU1222" s="4"/>
      <c r="BV1222" s="4"/>
      <c r="BW1222" s="4"/>
      <c r="BX1222" s="4"/>
      <c r="BY1222" s="4"/>
      <c r="BZ1222" s="4"/>
      <c r="CA1222" s="4"/>
      <c r="CB1222" s="4"/>
      <c r="CC1222" s="4"/>
      <c r="CD1222" s="4"/>
      <c r="CE1222" s="4"/>
      <c r="CF1222" s="4"/>
      <c r="CG1222" s="4"/>
      <c r="CH1222" s="4"/>
      <c r="CI1222" s="4"/>
      <c r="CJ1222" s="3"/>
      <c r="CK1222" s="3"/>
      <c r="CL1222" s="3"/>
      <c r="CM1222" s="4"/>
      <c r="CN1222" s="4"/>
      <c r="CO1222" s="4"/>
      <c r="CP1222" s="4"/>
      <c r="CQ1222" s="8"/>
      <c r="CR1222" s="8"/>
      <c r="CS1222" s="8"/>
      <c r="CT1222" s="8"/>
      <c r="CU1222" s="4"/>
      <c r="CV1222" s="4"/>
      <c r="CW1222" s="4"/>
      <c r="CX1222" s="4"/>
      <c r="CY1222" s="4"/>
      <c r="CZ1222" s="4"/>
      <c r="DA1222" s="4"/>
      <c r="DB1222" s="4"/>
      <c r="DC1222" s="4"/>
      <c r="DD1222" s="4"/>
      <c r="DE1222" s="4"/>
      <c r="DF1222" s="4"/>
      <c r="DG1222" s="4"/>
      <c r="DH1222" s="4"/>
      <c r="DI1222" s="4"/>
      <c r="DJ1222" s="4"/>
      <c r="DK1222" s="4"/>
      <c r="DL1222" s="4"/>
      <c r="DM1222" s="4"/>
      <c r="DN1222" s="4"/>
      <c r="DO1222" s="3"/>
      <c r="DP1222" s="3"/>
      <c r="DQ1222" s="3"/>
      <c r="DR1222" s="3"/>
      <c r="DS1222" s="3"/>
      <c r="DT1222" s="3"/>
      <c r="DU1222" s="4"/>
      <c r="DV1222" s="4"/>
      <c r="DW1222" s="3"/>
    </row>
    <row r="1223" spans="1:153" hidden="1">
      <c r="A1223" s="11" t="s">
        <v>9940</v>
      </c>
      <c r="B1223" s="3" t="s">
        <v>8373</v>
      </c>
      <c r="C1223" s="3">
        <v>2017</v>
      </c>
      <c r="D1223" s="3" t="s">
        <v>991</v>
      </c>
      <c r="E1223" s="3" t="s">
        <v>8560</v>
      </c>
      <c r="F1223" s="3">
        <v>1</v>
      </c>
      <c r="G1223" s="3"/>
      <c r="H1223" s="3" t="s">
        <v>995</v>
      </c>
      <c r="I1223" s="3"/>
      <c r="J1223" s="3"/>
      <c r="K1223" s="3" t="s">
        <v>970</v>
      </c>
      <c r="L1223" s="4"/>
      <c r="M1223" s="3" t="s">
        <v>8411</v>
      </c>
      <c r="T1223" s="3" t="s">
        <v>993</v>
      </c>
      <c r="V1223" s="3"/>
      <c r="W1223" s="4"/>
      <c r="X1223" s="5" t="s">
        <v>996</v>
      </c>
      <c r="Y1223" s="5"/>
      <c r="Z1223" s="3">
        <v>1</v>
      </c>
      <c r="AA1223" s="4"/>
      <c r="AB1223" s="4"/>
      <c r="AE1223" s="3"/>
      <c r="AF1223" s="3"/>
      <c r="AG1223" s="4"/>
      <c r="AH1223" s="4"/>
      <c r="AI1223" s="4"/>
      <c r="AJ1223" s="4"/>
      <c r="AK1223" s="3"/>
      <c r="AL1223" s="3"/>
      <c r="AM1223" s="3"/>
      <c r="AN1223" s="3"/>
      <c r="AO1223" s="4"/>
      <c r="AP1223" s="3"/>
      <c r="AQ1223" s="4"/>
      <c r="AR1223" s="3"/>
      <c r="AS1223" s="3"/>
      <c r="AT1223" s="4"/>
      <c r="AU1223" s="3"/>
      <c r="AV1223" s="4"/>
      <c r="AW1223" s="4"/>
      <c r="AX1223" s="4"/>
      <c r="AY1223" s="4"/>
      <c r="AZ1223" s="4"/>
      <c r="BA1223" s="4"/>
      <c r="BB1223" s="4"/>
      <c r="BC1223" s="4"/>
      <c r="BD1223" s="4"/>
      <c r="BE1223" s="4"/>
      <c r="BF1223" s="3"/>
      <c r="BG1223" s="3"/>
      <c r="BH1223" s="3"/>
      <c r="BI1223" s="4"/>
      <c r="BJ1223" s="3"/>
      <c r="BK1223" s="4"/>
      <c r="BL1223" s="3"/>
      <c r="BM1223" s="4"/>
      <c r="BN1223" s="4"/>
      <c r="BO1223" s="4"/>
      <c r="BP1223" s="4"/>
      <c r="BQ1223" s="4"/>
      <c r="BR1223" s="4"/>
      <c r="BS1223" s="4"/>
      <c r="BT1223" s="4"/>
      <c r="BU1223" s="4"/>
      <c r="BV1223" s="4"/>
      <c r="BW1223" s="4"/>
      <c r="BX1223" s="4"/>
      <c r="BY1223" s="4"/>
      <c r="BZ1223" s="4"/>
      <c r="CA1223" s="4"/>
      <c r="CB1223" s="4"/>
      <c r="CC1223" s="4"/>
      <c r="CD1223" s="4"/>
      <c r="CE1223" s="4"/>
      <c r="CF1223" s="4"/>
      <c r="CG1223" s="4"/>
      <c r="CH1223" s="4"/>
      <c r="CI1223" s="4"/>
      <c r="CJ1223" s="4"/>
      <c r="CK1223" s="4"/>
      <c r="CL1223" s="4"/>
      <c r="CM1223" s="4"/>
      <c r="CN1223" s="4"/>
      <c r="CO1223" s="4"/>
      <c r="CP1223" s="4"/>
      <c r="CQ1223" s="4"/>
      <c r="CR1223" s="4"/>
      <c r="CS1223" s="4"/>
      <c r="CT1223" s="4"/>
      <c r="CU1223" s="4"/>
      <c r="CV1223" s="4"/>
      <c r="CW1223" s="4"/>
      <c r="CX1223" s="4"/>
      <c r="CY1223" s="4"/>
      <c r="CZ1223" s="3"/>
      <c r="DA1223" s="3"/>
      <c r="DB1223" s="8"/>
      <c r="DC1223" s="4"/>
      <c r="DD1223" s="4"/>
      <c r="DE1223" s="4"/>
      <c r="DF1223" s="4"/>
      <c r="DG1223" s="8"/>
      <c r="DH1223" s="8"/>
      <c r="DI1223" s="8"/>
      <c r="DJ1223" s="8"/>
      <c r="DK1223" s="4"/>
      <c r="DL1223" s="4"/>
      <c r="DM1223" s="4"/>
      <c r="DN1223" s="4"/>
      <c r="DO1223" s="4"/>
      <c r="DP1223" s="4"/>
      <c r="DQ1223" s="4"/>
      <c r="DR1223" s="4"/>
      <c r="DS1223" s="4"/>
      <c r="DT1223" s="4"/>
      <c r="DU1223" s="4"/>
      <c r="DV1223" s="4"/>
      <c r="DW1223" s="4"/>
      <c r="DX1223" s="4"/>
      <c r="DY1223" s="4"/>
      <c r="DZ1223" s="4"/>
      <c r="EA1223" s="4"/>
      <c r="EB1223" s="4"/>
      <c r="EC1223" s="4"/>
      <c r="ED1223" s="4"/>
      <c r="EE1223" s="8"/>
      <c r="EF1223" s="8"/>
      <c r="EG1223" s="8"/>
      <c r="EH1223" s="8"/>
      <c r="EI1223" s="8"/>
      <c r="EJ1223" s="8"/>
      <c r="EK1223" s="4"/>
      <c r="EL1223" s="4"/>
      <c r="EM1223" s="4"/>
    </row>
    <row r="1224" spans="1:153" hidden="1">
      <c r="A1224" s="11" t="s">
        <v>9940</v>
      </c>
      <c r="B1224" s="3" t="s">
        <v>8373</v>
      </c>
      <c r="C1224" s="3">
        <v>2017</v>
      </c>
      <c r="D1224" s="3" t="s">
        <v>8561</v>
      </c>
      <c r="E1224" s="3" t="s">
        <v>8562</v>
      </c>
      <c r="F1224" s="3">
        <v>1</v>
      </c>
      <c r="G1224" s="3"/>
      <c r="H1224" s="3" t="s">
        <v>8567</v>
      </c>
      <c r="I1224" s="3"/>
      <c r="J1224" s="3"/>
      <c r="K1224" s="3" t="s">
        <v>8563</v>
      </c>
      <c r="L1224" s="4"/>
      <c r="M1224" s="3" t="s">
        <v>8564</v>
      </c>
      <c r="T1224" s="3" t="s">
        <v>8565</v>
      </c>
      <c r="V1224" s="3"/>
      <c r="W1224" s="4"/>
      <c r="X1224" s="5" t="s">
        <v>8566</v>
      </c>
      <c r="Y1224" s="5"/>
      <c r="Z1224" s="3">
        <v>1</v>
      </c>
      <c r="AA1224" s="4"/>
      <c r="AB1224" s="4"/>
      <c r="AE1224" s="3"/>
      <c r="AF1224" s="3"/>
      <c r="AG1224" s="4"/>
      <c r="AH1224" s="4"/>
      <c r="AI1224" s="4"/>
      <c r="AJ1224" s="4"/>
      <c r="AK1224" s="3"/>
      <c r="AL1224" s="3"/>
      <c r="AM1224" s="3"/>
      <c r="AN1224" s="3"/>
      <c r="AO1224" s="4"/>
      <c r="AP1224" s="3"/>
      <c r="AQ1224" s="4"/>
      <c r="AR1224" s="4"/>
      <c r="AS1224" s="3"/>
      <c r="AT1224" s="4"/>
      <c r="AU1224" s="3"/>
      <c r="AV1224" s="4"/>
      <c r="AW1224" s="4"/>
      <c r="AX1224" s="4"/>
      <c r="AY1224" s="4"/>
      <c r="AZ1224" s="4"/>
      <c r="BA1224" s="4"/>
      <c r="BB1224" s="4"/>
      <c r="BC1224" s="4"/>
      <c r="BD1224" s="4"/>
      <c r="BE1224" s="4"/>
      <c r="BF1224" s="3"/>
      <c r="BG1224" s="3"/>
      <c r="BH1224" s="3"/>
      <c r="BI1224" s="4"/>
      <c r="BJ1224" s="3"/>
      <c r="BK1224" s="4"/>
      <c r="BL1224" s="4"/>
      <c r="BM1224" s="3"/>
      <c r="BN1224" s="4"/>
      <c r="BO1224" s="4"/>
      <c r="BP1224" s="4"/>
      <c r="BQ1224" s="4"/>
      <c r="BR1224" s="4"/>
      <c r="BS1224" s="4"/>
      <c r="BT1224" s="4"/>
      <c r="BU1224" s="4"/>
      <c r="BV1224" s="4"/>
      <c r="BW1224" s="4"/>
      <c r="BX1224" s="4"/>
      <c r="BY1224" s="4"/>
      <c r="BZ1224" s="4"/>
      <c r="CA1224" s="4"/>
      <c r="CB1224" s="4"/>
      <c r="CC1224" s="4"/>
      <c r="CD1224" s="4"/>
      <c r="CE1224" s="4"/>
      <c r="CF1224" s="4"/>
      <c r="CG1224" s="4"/>
      <c r="CH1224" s="4"/>
      <c r="CI1224" s="4"/>
      <c r="CJ1224" s="4"/>
      <c r="CK1224" s="4"/>
      <c r="CL1224" s="4"/>
      <c r="CM1224" s="4"/>
      <c r="CN1224" s="4"/>
      <c r="CO1224" s="4"/>
      <c r="CP1224" s="4"/>
      <c r="CQ1224" s="4"/>
      <c r="CR1224" s="4"/>
      <c r="CS1224" s="4"/>
      <c r="CT1224" s="4"/>
      <c r="CU1224" s="4"/>
      <c r="CV1224" s="4"/>
      <c r="CW1224" s="4"/>
      <c r="CX1224" s="4"/>
      <c r="CY1224" s="4"/>
      <c r="CZ1224" s="4"/>
      <c r="DA1224" s="4"/>
      <c r="DB1224" s="4"/>
      <c r="DC1224" s="4"/>
      <c r="DD1224" s="4"/>
      <c r="DE1224" s="4"/>
      <c r="DF1224" s="4"/>
      <c r="DG1224" s="4"/>
      <c r="DH1224" s="4"/>
      <c r="DI1224" s="3"/>
      <c r="DJ1224" s="3"/>
      <c r="DK1224" s="8"/>
      <c r="DL1224" s="4"/>
      <c r="DM1224" s="4"/>
      <c r="DN1224" s="4"/>
      <c r="DO1224" s="4"/>
      <c r="DP1224" s="8"/>
      <c r="DQ1224" s="8"/>
      <c r="DR1224" s="8"/>
      <c r="DS1224" s="8"/>
      <c r="DT1224" s="4"/>
      <c r="DU1224" s="4"/>
      <c r="DV1224" s="4"/>
      <c r="DW1224" s="4"/>
      <c r="DX1224" s="4"/>
      <c r="DY1224" s="4"/>
      <c r="DZ1224" s="4"/>
      <c r="EA1224" s="4"/>
      <c r="EB1224" s="4"/>
      <c r="EC1224" s="4"/>
      <c r="ED1224" s="4"/>
      <c r="EE1224" s="4"/>
      <c r="EF1224" s="4"/>
      <c r="EG1224" s="4"/>
      <c r="EH1224" s="4"/>
      <c r="EI1224" s="4"/>
      <c r="EJ1224" s="4"/>
      <c r="EK1224" s="4"/>
      <c r="EL1224" s="4"/>
      <c r="EM1224" s="4"/>
      <c r="EN1224" s="8"/>
      <c r="EO1224" s="8"/>
      <c r="EP1224" s="8"/>
      <c r="EQ1224" s="8"/>
      <c r="ER1224" s="8"/>
      <c r="ES1224" s="8"/>
      <c r="ET1224" s="4"/>
      <c r="EU1224" s="4"/>
      <c r="EV1224" s="4"/>
    </row>
    <row r="1225" spans="1:153" hidden="1">
      <c r="A1225" s="11" t="s">
        <v>9940</v>
      </c>
      <c r="B1225" s="3" t="s">
        <v>8373</v>
      </c>
      <c r="C1225" s="3">
        <v>2019</v>
      </c>
      <c r="D1225" s="3" t="s">
        <v>8568</v>
      </c>
      <c r="E1225" s="3" t="s">
        <v>8569</v>
      </c>
      <c r="F1225" s="3">
        <v>1</v>
      </c>
      <c r="G1225" s="3"/>
      <c r="H1225" s="3" t="s">
        <v>8573</v>
      </c>
      <c r="I1225" s="3"/>
      <c r="J1225" s="3"/>
      <c r="K1225" s="3" t="s">
        <v>1006</v>
      </c>
      <c r="L1225" s="4"/>
      <c r="M1225" s="3" t="s">
        <v>8570</v>
      </c>
      <c r="T1225" s="3" t="s">
        <v>8571</v>
      </c>
      <c r="V1225" s="3"/>
      <c r="W1225" s="4"/>
      <c r="X1225" s="5" t="s">
        <v>8572</v>
      </c>
      <c r="Y1225" s="5"/>
      <c r="Z1225" s="3">
        <v>1</v>
      </c>
      <c r="AA1225" s="4"/>
      <c r="AB1225" s="4"/>
      <c r="AE1225" s="3"/>
      <c r="AF1225" s="3"/>
      <c r="AG1225" s="4"/>
      <c r="AH1225" s="4"/>
      <c r="AI1225" s="4"/>
      <c r="AJ1225" s="4"/>
      <c r="AK1225" s="3"/>
      <c r="AL1225" s="7"/>
      <c r="AM1225" s="3"/>
      <c r="AN1225" s="3"/>
      <c r="AO1225" s="4"/>
      <c r="AP1225" s="4"/>
      <c r="AQ1225" s="4"/>
      <c r="AR1225" s="4"/>
      <c r="AS1225" s="4"/>
      <c r="AT1225" s="4"/>
      <c r="AU1225" s="3"/>
      <c r="AV1225" s="4"/>
      <c r="AW1225" s="4"/>
      <c r="AX1225" s="4"/>
      <c r="AY1225" s="4"/>
      <c r="AZ1225" s="4"/>
      <c r="BA1225" s="4"/>
      <c r="BB1225" s="4"/>
      <c r="BC1225" s="4"/>
      <c r="BD1225" s="4"/>
      <c r="BE1225" s="4"/>
      <c r="BF1225" s="3"/>
      <c r="BG1225" s="3"/>
      <c r="BH1225" s="3"/>
      <c r="BI1225" s="4"/>
      <c r="BJ1225" s="3"/>
      <c r="BK1225" s="4"/>
      <c r="BL1225" s="4"/>
      <c r="BM1225" s="4"/>
      <c r="BN1225" s="3"/>
      <c r="BO1225" s="4"/>
      <c r="BP1225" s="4"/>
      <c r="BQ1225" s="4"/>
      <c r="BR1225" s="4"/>
      <c r="BS1225" s="4"/>
      <c r="BT1225" s="4"/>
      <c r="BU1225" s="4"/>
      <c r="BV1225" s="4"/>
      <c r="BW1225" s="4"/>
      <c r="BX1225" s="4"/>
      <c r="BY1225" s="4"/>
      <c r="BZ1225" s="4"/>
      <c r="CA1225" s="4"/>
      <c r="CB1225" s="4"/>
      <c r="CC1225" s="4"/>
      <c r="CD1225" s="4"/>
      <c r="CE1225" s="4"/>
      <c r="CF1225" s="4"/>
      <c r="CG1225" s="4"/>
      <c r="CH1225" s="4"/>
      <c r="CI1225" s="4"/>
      <c r="CJ1225" s="4"/>
      <c r="CK1225" s="4"/>
      <c r="CL1225" s="4"/>
      <c r="CM1225" s="4"/>
      <c r="CN1225" s="4"/>
      <c r="CO1225" s="4"/>
      <c r="CP1225" s="4"/>
      <c r="CQ1225" s="4"/>
      <c r="CR1225" s="4"/>
      <c r="CS1225" s="4"/>
      <c r="CT1225" s="4"/>
      <c r="CU1225" s="4"/>
      <c r="CV1225" s="4"/>
      <c r="CW1225" s="4"/>
      <c r="CX1225" s="4"/>
      <c r="CY1225" s="4"/>
      <c r="CZ1225" s="4"/>
      <c r="DA1225" s="4"/>
      <c r="DB1225" s="4"/>
      <c r="DC1225" s="4"/>
      <c r="DD1225" s="4"/>
      <c r="DE1225" s="4"/>
      <c r="DF1225" s="4"/>
      <c r="DG1225" s="4"/>
      <c r="DH1225" s="4"/>
      <c r="DI1225" s="4"/>
      <c r="DJ1225" s="3"/>
      <c r="DK1225" s="3"/>
      <c r="DL1225" s="8"/>
      <c r="DM1225" s="4"/>
      <c r="DN1225" s="4"/>
      <c r="DO1225" s="4"/>
      <c r="DP1225" s="4"/>
      <c r="DQ1225" s="8"/>
      <c r="DR1225" s="8"/>
      <c r="DS1225" s="8"/>
      <c r="DT1225" s="8"/>
      <c r="DU1225" s="4"/>
      <c r="DV1225" s="4"/>
      <c r="DW1225" s="4"/>
      <c r="DX1225" s="4"/>
      <c r="DY1225" s="4"/>
      <c r="DZ1225" s="4"/>
      <c r="EA1225" s="4"/>
      <c r="EB1225" s="4"/>
      <c r="EC1225" s="4"/>
      <c r="ED1225" s="4"/>
      <c r="EE1225" s="4"/>
      <c r="EF1225" s="4"/>
      <c r="EG1225" s="4"/>
      <c r="EH1225" s="4"/>
      <c r="EI1225" s="4"/>
      <c r="EJ1225" s="4"/>
      <c r="EK1225" s="4"/>
      <c r="EL1225" s="4"/>
      <c r="EM1225" s="4"/>
      <c r="EN1225" s="4"/>
      <c r="EO1225" s="8"/>
      <c r="EP1225" s="8"/>
      <c r="EQ1225" s="8"/>
      <c r="ER1225" s="8"/>
      <c r="ES1225" s="8"/>
      <c r="ET1225" s="8"/>
      <c r="EU1225" s="4"/>
      <c r="EV1225" s="4"/>
      <c r="EW1225" s="4"/>
    </row>
    <row r="1226" spans="1:153" hidden="1">
      <c r="A1226" s="11" t="s">
        <v>9940</v>
      </c>
      <c r="B1226" s="3" t="s">
        <v>8373</v>
      </c>
      <c r="C1226" s="3">
        <v>2011</v>
      </c>
      <c r="D1226" s="3" t="s">
        <v>9299</v>
      </c>
      <c r="E1226" s="3" t="s">
        <v>9300</v>
      </c>
      <c r="F1226" s="3">
        <v>0</v>
      </c>
      <c r="G1226" s="3" t="s">
        <v>9178</v>
      </c>
      <c r="H1226" s="3" t="s">
        <v>9303</v>
      </c>
      <c r="I1226" s="3"/>
      <c r="J1226" s="3"/>
      <c r="K1226" s="3" t="s">
        <v>2592</v>
      </c>
      <c r="L1226" s="4"/>
      <c r="M1226" s="3" t="s">
        <v>8953</v>
      </c>
      <c r="T1226" s="3" t="s">
        <v>9301</v>
      </c>
      <c r="V1226" s="4"/>
      <c r="W1226" s="4"/>
      <c r="X1226" s="5" t="s">
        <v>9302</v>
      </c>
      <c r="Y1226" s="5"/>
      <c r="Z1226" s="4"/>
      <c r="AA1226" s="4"/>
      <c r="AB1226" s="4"/>
      <c r="AE1226" s="4"/>
      <c r="AF1226" s="4"/>
      <c r="AG1226" s="3"/>
      <c r="AH1226" s="3"/>
      <c r="AI1226" s="3"/>
      <c r="AJ1226" s="3"/>
      <c r="AK1226" s="4"/>
      <c r="AL1226" s="3"/>
      <c r="AM1226" s="4"/>
      <c r="AN1226" s="3"/>
      <c r="AO1226" s="3"/>
      <c r="AP1226" s="4"/>
      <c r="AQ1226" s="3"/>
      <c r="AR1226" s="4"/>
      <c r="AS1226" s="4"/>
      <c r="AT1226" s="4"/>
      <c r="AU1226" s="4"/>
      <c r="AV1226" s="4"/>
      <c r="AW1226" s="4"/>
      <c r="AX1226" s="4"/>
      <c r="AY1226" s="4"/>
      <c r="AZ1226" s="4"/>
      <c r="BA1226" s="4"/>
      <c r="BB1226" s="3"/>
      <c r="BC1226" s="3"/>
      <c r="BD1226" s="3"/>
      <c r="BE1226" s="4"/>
      <c r="BF1226" s="3"/>
      <c r="BG1226" s="4"/>
      <c r="BH1226" s="4"/>
      <c r="BI1226" s="3"/>
      <c r="BJ1226" s="4"/>
      <c r="BK1226" s="4"/>
      <c r="BL1226" s="4"/>
      <c r="BM1226" s="4"/>
      <c r="BN1226" s="4"/>
      <c r="BO1226" s="4"/>
      <c r="BP1226" s="4"/>
      <c r="BQ1226" s="4"/>
      <c r="BR1226" s="4"/>
      <c r="BS1226" s="4"/>
      <c r="BT1226" s="4"/>
      <c r="BU1226" s="4"/>
      <c r="BV1226" s="4"/>
      <c r="BW1226" s="4"/>
      <c r="BX1226" s="4"/>
      <c r="BY1226" s="3"/>
      <c r="BZ1226" s="3"/>
      <c r="CA1226" s="4"/>
      <c r="CB1226" s="4"/>
      <c r="CC1226" s="4"/>
      <c r="CD1226" s="4"/>
      <c r="CE1226" s="4"/>
      <c r="CF1226" s="4"/>
      <c r="CG1226" s="4"/>
      <c r="CH1226" s="4"/>
      <c r="CI1226" s="4"/>
      <c r="CJ1226" s="4"/>
      <c r="CK1226" s="4"/>
      <c r="CL1226" s="4"/>
      <c r="CM1226" s="4"/>
      <c r="CN1226" s="4"/>
      <c r="CO1226" s="4"/>
      <c r="CP1226" s="4"/>
      <c r="CQ1226" s="4"/>
      <c r="CR1226" s="4"/>
      <c r="CS1226" s="4"/>
      <c r="CT1226" s="4"/>
      <c r="CU1226" s="4"/>
      <c r="CV1226" s="4"/>
      <c r="CW1226" s="4"/>
      <c r="CX1226" s="4"/>
      <c r="CY1226" s="4"/>
      <c r="CZ1226" s="4"/>
      <c r="DA1226" s="4"/>
      <c r="DB1226" s="4"/>
      <c r="DC1226" s="4"/>
      <c r="DD1226" s="4"/>
      <c r="DE1226" s="4"/>
      <c r="DF1226" s="4"/>
      <c r="DG1226" s="4"/>
      <c r="DH1226" s="4"/>
      <c r="DI1226" s="4"/>
      <c r="DJ1226" s="4"/>
      <c r="DK1226" s="4"/>
      <c r="DL1226" s="4"/>
    </row>
    <row r="1227" spans="1:153" hidden="1">
      <c r="A1227" s="11" t="s">
        <v>9940</v>
      </c>
      <c r="B1227" s="3" t="s">
        <v>8373</v>
      </c>
      <c r="C1227" s="3">
        <v>2011</v>
      </c>
      <c r="D1227" s="3" t="s">
        <v>9304</v>
      </c>
      <c r="E1227" s="3" t="s">
        <v>9305</v>
      </c>
      <c r="F1227" s="3">
        <v>0</v>
      </c>
      <c r="G1227" s="3" t="s">
        <v>9265</v>
      </c>
      <c r="H1227" s="3" t="s">
        <v>9309</v>
      </c>
      <c r="I1227" s="3"/>
      <c r="J1227" s="3"/>
      <c r="K1227" s="3" t="s">
        <v>9306</v>
      </c>
      <c r="L1227" s="4"/>
      <c r="M1227" s="12">
        <v>41671</v>
      </c>
      <c r="T1227" s="3" t="s">
        <v>9307</v>
      </c>
      <c r="V1227" s="4"/>
      <c r="W1227" s="4"/>
      <c r="X1227" s="5" t="s">
        <v>9308</v>
      </c>
      <c r="Y1227" s="5"/>
      <c r="Z1227" s="4"/>
      <c r="AA1227" s="4"/>
      <c r="AB1227" s="4"/>
      <c r="AE1227" s="4"/>
      <c r="AF1227" s="4"/>
      <c r="AG1227" s="3"/>
      <c r="AH1227" s="3"/>
      <c r="AI1227" s="3"/>
      <c r="AJ1227" s="3"/>
      <c r="AK1227" s="4"/>
      <c r="AL1227" s="3"/>
      <c r="AM1227" s="4"/>
      <c r="AN1227" s="3"/>
      <c r="AO1227" s="3"/>
      <c r="AP1227" s="4"/>
      <c r="AQ1227" s="3"/>
      <c r="AR1227" s="4"/>
      <c r="AS1227" s="4"/>
      <c r="AT1227" s="4"/>
      <c r="AU1227" s="4"/>
      <c r="AV1227" s="4"/>
      <c r="AW1227" s="4"/>
      <c r="AX1227" s="4"/>
      <c r="AY1227" s="4"/>
      <c r="AZ1227" s="4"/>
      <c r="BA1227" s="4"/>
      <c r="BB1227" s="3"/>
      <c r="BC1227" s="3"/>
      <c r="BD1227" s="3"/>
      <c r="BE1227" s="4"/>
      <c r="BF1227" s="3"/>
      <c r="BG1227" s="4"/>
      <c r="BH1227" s="4"/>
      <c r="BI1227" s="3"/>
      <c r="BJ1227" s="4"/>
      <c r="BK1227" s="4"/>
      <c r="BL1227" s="4"/>
      <c r="BM1227" s="4"/>
      <c r="BN1227" s="4"/>
      <c r="BO1227" s="4"/>
      <c r="BP1227" s="4"/>
      <c r="BQ1227" s="4"/>
      <c r="BR1227" s="4"/>
      <c r="BS1227" s="4"/>
      <c r="BT1227" s="4"/>
      <c r="BU1227" s="4"/>
      <c r="BV1227" s="4"/>
      <c r="BW1227" s="4"/>
      <c r="BX1227" s="4"/>
      <c r="BY1227" s="4"/>
      <c r="BZ1227" s="4"/>
      <c r="CA1227" s="4"/>
      <c r="CB1227" s="4"/>
      <c r="CC1227" s="4"/>
      <c r="CD1227" s="4"/>
      <c r="CE1227" s="4"/>
      <c r="CF1227" s="4"/>
      <c r="CG1227" s="4"/>
      <c r="CH1227" s="4"/>
      <c r="CI1227" s="4"/>
      <c r="CJ1227" s="4"/>
      <c r="CK1227" s="3"/>
      <c r="CL1227" s="3"/>
      <c r="CM1227" s="4"/>
      <c r="CN1227" s="4"/>
      <c r="CO1227" s="4"/>
      <c r="CP1227" s="4"/>
      <c r="CQ1227" s="4"/>
      <c r="CR1227" s="4"/>
      <c r="CS1227" s="4"/>
      <c r="CT1227" s="4"/>
      <c r="CU1227" s="4"/>
      <c r="CV1227" s="4"/>
      <c r="CW1227" s="4"/>
      <c r="CX1227" s="4"/>
      <c r="CY1227" s="4"/>
      <c r="CZ1227" s="4"/>
      <c r="DA1227" s="4"/>
      <c r="DB1227" s="4"/>
      <c r="DC1227" s="4"/>
      <c r="DD1227" s="4"/>
      <c r="DE1227" s="4"/>
      <c r="DF1227" s="4"/>
      <c r="DG1227" s="4"/>
      <c r="DH1227" s="4"/>
      <c r="DI1227" s="4"/>
      <c r="DJ1227" s="4"/>
      <c r="DK1227" s="4"/>
      <c r="DL1227" s="4"/>
      <c r="DM1227" s="4"/>
      <c r="DN1227" s="4"/>
      <c r="DO1227" s="4"/>
      <c r="DP1227" s="4"/>
      <c r="DQ1227" s="4"/>
      <c r="DR1227" s="4"/>
      <c r="DS1227" s="4"/>
      <c r="DT1227" s="4"/>
      <c r="DU1227" s="4"/>
      <c r="DV1227" s="4"/>
      <c r="DW1227" s="4"/>
      <c r="DX1227" s="4"/>
    </row>
    <row r="1228" spans="1:153" hidden="1">
      <c r="A1228" s="11" t="s">
        <v>9940</v>
      </c>
      <c r="B1228" s="3" t="s">
        <v>8373</v>
      </c>
      <c r="C1228" s="3">
        <v>2018</v>
      </c>
      <c r="D1228" s="3" t="s">
        <v>6562</v>
      </c>
      <c r="E1228" s="3" t="s">
        <v>8574</v>
      </c>
      <c r="F1228" s="3">
        <v>1</v>
      </c>
      <c r="G1228" s="3"/>
      <c r="H1228" s="3" t="s">
        <v>8575</v>
      </c>
      <c r="I1228" s="3"/>
      <c r="J1228" s="3"/>
      <c r="K1228" s="3" t="s">
        <v>132</v>
      </c>
      <c r="L1228" s="4"/>
      <c r="M1228" s="3" t="s">
        <v>8382</v>
      </c>
      <c r="T1228" s="3" t="s">
        <v>6564</v>
      </c>
      <c r="V1228" s="3"/>
      <c r="W1228" s="4"/>
      <c r="X1228" s="5" t="s">
        <v>6567</v>
      </c>
      <c r="Y1228" s="5"/>
      <c r="Z1228" s="3">
        <v>1</v>
      </c>
      <c r="AA1228" s="4"/>
      <c r="AB1228" s="3"/>
      <c r="AE1228" s="3"/>
      <c r="AF1228" s="3"/>
      <c r="AG1228" s="4"/>
      <c r="AH1228" s="4"/>
      <c r="AI1228" s="4"/>
      <c r="AJ1228" s="4"/>
      <c r="AK1228" s="3"/>
      <c r="AL1228" s="3"/>
      <c r="AM1228" s="3"/>
      <c r="AN1228" s="3"/>
      <c r="AO1228" s="4"/>
      <c r="AP1228" s="3"/>
      <c r="AQ1228" s="4"/>
      <c r="AR1228" s="4"/>
      <c r="AS1228" s="3"/>
      <c r="AT1228" s="4"/>
      <c r="AU1228" s="3"/>
      <c r="AV1228" s="4"/>
      <c r="AW1228" s="4"/>
      <c r="AX1228" s="4"/>
      <c r="AY1228" s="4"/>
      <c r="AZ1228" s="4"/>
      <c r="BA1228" s="4"/>
      <c r="BB1228" s="4"/>
      <c r="BC1228" s="4"/>
      <c r="BD1228" s="4"/>
      <c r="BE1228" s="4"/>
      <c r="BF1228" s="3"/>
      <c r="BG1228" s="3"/>
      <c r="BH1228" s="3"/>
      <c r="BI1228" s="4"/>
      <c r="BJ1228" s="3"/>
      <c r="BK1228" s="4"/>
      <c r="BL1228" s="4"/>
      <c r="BM1228" s="3"/>
      <c r="BN1228" s="4"/>
      <c r="BO1228" s="4"/>
      <c r="BP1228" s="4"/>
      <c r="BQ1228" s="4"/>
      <c r="BR1228" s="4"/>
      <c r="BS1228" s="4"/>
      <c r="BT1228" s="4"/>
      <c r="BU1228" s="4"/>
      <c r="BV1228" s="4"/>
      <c r="BW1228" s="4"/>
      <c r="BX1228" s="4"/>
      <c r="BY1228" s="4"/>
      <c r="BZ1228" s="4"/>
      <c r="CA1228" s="4"/>
      <c r="CB1228" s="4"/>
      <c r="CC1228" s="4"/>
      <c r="CD1228" s="4"/>
      <c r="CE1228" s="4"/>
      <c r="CF1228" s="4"/>
      <c r="CG1228" s="4"/>
      <c r="CH1228" s="4"/>
      <c r="CI1228" s="4"/>
      <c r="CJ1228" s="4"/>
      <c r="CK1228" s="4"/>
      <c r="CL1228" s="4"/>
      <c r="CM1228" s="4"/>
      <c r="CN1228" s="4"/>
      <c r="CO1228" s="4"/>
      <c r="CP1228" s="4"/>
      <c r="CQ1228" s="4"/>
      <c r="CR1228" s="4"/>
      <c r="CS1228" s="4"/>
      <c r="CT1228" s="4"/>
      <c r="CU1228" s="3"/>
      <c r="CV1228" s="3"/>
      <c r="CW1228" s="8"/>
      <c r="CX1228" s="4"/>
      <c r="CY1228" s="4"/>
      <c r="CZ1228" s="4"/>
      <c r="DA1228" s="4"/>
      <c r="DB1228" s="8"/>
      <c r="DC1228" s="8"/>
      <c r="DD1228" s="8"/>
      <c r="DE1228" s="8"/>
      <c r="DF1228" s="4"/>
      <c r="DG1228" s="4"/>
      <c r="DH1228" s="4"/>
      <c r="DI1228" s="4"/>
      <c r="DJ1228" s="4"/>
      <c r="DK1228" s="4"/>
      <c r="DL1228" s="4"/>
      <c r="DM1228" s="4"/>
      <c r="DN1228" s="4"/>
      <c r="DO1228" s="4"/>
      <c r="DP1228" s="4"/>
      <c r="DQ1228" s="4"/>
      <c r="DR1228" s="4"/>
      <c r="DS1228" s="4"/>
      <c r="DT1228" s="4"/>
      <c r="DU1228" s="4"/>
      <c r="DV1228" s="4"/>
      <c r="DW1228" s="4"/>
      <c r="DX1228" s="4"/>
      <c r="DY1228" s="4"/>
      <c r="DZ1228" s="8"/>
      <c r="EA1228" s="8"/>
      <c r="EB1228" s="8"/>
      <c r="EC1228" s="8"/>
      <c r="ED1228" s="8"/>
      <c r="EE1228" s="8"/>
      <c r="EF1228" s="4"/>
      <c r="EG1228" s="4"/>
      <c r="EH1228" s="4"/>
    </row>
    <row r="1229" spans="1:153" hidden="1">
      <c r="A1229" s="11" t="s">
        <v>9940</v>
      </c>
      <c r="B1229" s="3" t="s">
        <v>8373</v>
      </c>
      <c r="C1229" s="3">
        <v>2014</v>
      </c>
      <c r="D1229" s="3" t="s">
        <v>8000</v>
      </c>
      <c r="E1229" s="3" t="s">
        <v>9310</v>
      </c>
      <c r="F1229" s="3">
        <v>0</v>
      </c>
      <c r="G1229" s="3" t="s">
        <v>9265</v>
      </c>
      <c r="H1229" s="3" t="s">
        <v>9312</v>
      </c>
      <c r="I1229" s="3"/>
      <c r="J1229" s="3"/>
      <c r="K1229" s="3" t="s">
        <v>1774</v>
      </c>
      <c r="L1229" s="4"/>
      <c r="M1229" s="3" t="s">
        <v>9311</v>
      </c>
      <c r="T1229" s="3" t="s">
        <v>8002</v>
      </c>
      <c r="V1229" s="4"/>
      <c r="W1229" s="4"/>
      <c r="X1229" s="5" t="s">
        <v>8005</v>
      </c>
      <c r="Y1229" s="5"/>
      <c r="Z1229" s="4"/>
      <c r="AA1229" s="4"/>
      <c r="AB1229" s="4"/>
      <c r="AE1229" s="4"/>
      <c r="AF1229" s="4"/>
      <c r="AG1229" s="3"/>
      <c r="AH1229" s="3"/>
      <c r="AI1229" s="3"/>
      <c r="AJ1229" s="3"/>
      <c r="AK1229" s="4"/>
      <c r="AL1229" s="3"/>
      <c r="AM1229" s="4"/>
      <c r="AN1229" s="4"/>
      <c r="AO1229" s="3"/>
      <c r="AP1229" s="4"/>
      <c r="AQ1229" s="3"/>
      <c r="AR1229" s="4"/>
      <c r="AS1229" s="4"/>
      <c r="AT1229" s="4"/>
      <c r="AU1229" s="4"/>
      <c r="AV1229" s="4"/>
      <c r="AW1229" s="4"/>
      <c r="AX1229" s="4"/>
      <c r="AY1229" s="4"/>
      <c r="AZ1229" s="4"/>
      <c r="BA1229" s="4"/>
      <c r="BB1229" s="3"/>
      <c r="BC1229" s="3"/>
      <c r="BD1229" s="3"/>
      <c r="BE1229" s="4"/>
      <c r="BF1229" s="3"/>
      <c r="BG1229" s="4"/>
      <c r="BH1229" s="4"/>
      <c r="BI1229" s="3"/>
      <c r="BJ1229" s="4"/>
      <c r="BK1229" s="4"/>
      <c r="BL1229" s="4"/>
      <c r="BM1229" s="4"/>
      <c r="BN1229" s="4"/>
      <c r="BO1229" s="4"/>
      <c r="BP1229" s="4"/>
      <c r="BQ1229" s="4"/>
      <c r="BR1229" s="4"/>
      <c r="BS1229" s="4"/>
      <c r="BT1229" s="4"/>
      <c r="BU1229" s="4"/>
      <c r="BV1229" s="4"/>
      <c r="BW1229" s="4"/>
      <c r="BX1229" s="4"/>
      <c r="BY1229" s="4"/>
      <c r="BZ1229" s="4"/>
      <c r="CA1229" s="4"/>
      <c r="CB1229" s="4"/>
      <c r="CC1229" s="4"/>
      <c r="CD1229" s="3"/>
      <c r="CE1229" s="3"/>
      <c r="CF1229" s="4"/>
      <c r="CG1229" s="4"/>
      <c r="CH1229" s="4"/>
      <c r="CI1229" s="4"/>
      <c r="CJ1229" s="4"/>
      <c r="CK1229" s="4"/>
      <c r="CL1229" s="4"/>
      <c r="CM1229" s="4"/>
      <c r="CN1229" s="4"/>
      <c r="CO1229" s="4"/>
      <c r="CP1229" s="4"/>
      <c r="CQ1229" s="4"/>
      <c r="CR1229" s="4"/>
      <c r="CS1229" s="4"/>
      <c r="CT1229" s="4"/>
      <c r="CU1229" s="4"/>
      <c r="CV1229" s="4"/>
      <c r="CW1229" s="4"/>
      <c r="CX1229" s="4"/>
      <c r="CY1229" s="4"/>
      <c r="CZ1229" s="4"/>
      <c r="DA1229" s="4"/>
      <c r="DB1229" s="4"/>
      <c r="DC1229" s="4"/>
      <c r="DD1229" s="4"/>
      <c r="DE1229" s="4"/>
      <c r="DF1229" s="4"/>
      <c r="DG1229" s="4"/>
      <c r="DH1229" s="4"/>
      <c r="DI1229" s="4"/>
      <c r="DJ1229" s="4"/>
      <c r="DK1229" s="4"/>
      <c r="DL1229" s="4"/>
      <c r="DM1229" s="4"/>
      <c r="DN1229" s="4"/>
      <c r="DO1229" s="4"/>
      <c r="DP1229" s="4"/>
      <c r="DQ1229" s="4"/>
    </row>
    <row r="1230" spans="1:153" hidden="1">
      <c r="A1230" s="11" t="s">
        <v>9940</v>
      </c>
      <c r="B1230" s="3" t="s">
        <v>8373</v>
      </c>
      <c r="C1230" s="3">
        <v>2016</v>
      </c>
      <c r="D1230" s="3" t="s">
        <v>856</v>
      </c>
      <c r="E1230" s="3" t="s">
        <v>8576</v>
      </c>
      <c r="F1230" s="3">
        <v>1</v>
      </c>
      <c r="G1230" s="3"/>
      <c r="H1230" s="3" t="s">
        <v>8579</v>
      </c>
      <c r="I1230" s="3"/>
      <c r="J1230" s="3"/>
      <c r="K1230" s="3" t="s">
        <v>314</v>
      </c>
      <c r="L1230" s="4"/>
      <c r="M1230" s="3" t="s">
        <v>8577</v>
      </c>
      <c r="T1230" s="3" t="s">
        <v>8578</v>
      </c>
      <c r="V1230" s="3"/>
      <c r="W1230" s="4"/>
      <c r="X1230" s="5" t="s">
        <v>860</v>
      </c>
      <c r="Y1230" s="5"/>
      <c r="Z1230" s="3">
        <v>1</v>
      </c>
      <c r="AA1230" s="4"/>
      <c r="AB1230" s="3"/>
      <c r="AE1230" s="3"/>
      <c r="AF1230" s="3"/>
      <c r="AG1230" s="4"/>
      <c r="AH1230" s="4"/>
      <c r="AI1230" s="4"/>
      <c r="AJ1230" s="4"/>
      <c r="AK1230" s="3"/>
      <c r="AL1230" s="3"/>
      <c r="AM1230" s="3"/>
      <c r="AN1230" s="3"/>
      <c r="AO1230" s="4"/>
      <c r="AP1230" s="3"/>
      <c r="AQ1230" s="4"/>
      <c r="AR1230" s="3"/>
      <c r="AS1230" s="3"/>
      <c r="AT1230" s="4"/>
      <c r="AU1230" s="3"/>
      <c r="AV1230" s="4"/>
      <c r="AW1230" s="4"/>
      <c r="AX1230" s="4"/>
      <c r="AY1230" s="4"/>
      <c r="AZ1230" s="4"/>
      <c r="BA1230" s="4"/>
      <c r="BB1230" s="4"/>
      <c r="BC1230" s="4"/>
      <c r="BD1230" s="4"/>
      <c r="BE1230" s="4"/>
      <c r="BF1230" s="3"/>
      <c r="BG1230" s="3"/>
      <c r="BH1230" s="3"/>
      <c r="BI1230" s="4"/>
      <c r="BJ1230" s="3"/>
      <c r="BK1230" s="4"/>
      <c r="BL1230" s="4"/>
      <c r="BM1230" s="4"/>
      <c r="BN1230" s="3"/>
      <c r="BO1230" s="4"/>
      <c r="BP1230" s="4"/>
      <c r="BQ1230" s="4"/>
      <c r="BR1230" s="4"/>
      <c r="BS1230" s="4"/>
      <c r="BT1230" s="4"/>
      <c r="BU1230" s="4"/>
      <c r="BV1230" s="4"/>
      <c r="BW1230" s="4"/>
      <c r="BX1230" s="4"/>
      <c r="BY1230" s="4"/>
      <c r="BZ1230" s="4"/>
      <c r="CA1230" s="4"/>
      <c r="CB1230" s="4"/>
      <c r="CC1230" s="4"/>
      <c r="CD1230" s="4"/>
      <c r="CE1230" s="4"/>
      <c r="CF1230" s="4"/>
      <c r="CG1230" s="4"/>
      <c r="CH1230" s="4"/>
      <c r="CI1230" s="4"/>
      <c r="CJ1230" s="4"/>
      <c r="CK1230" s="4"/>
      <c r="CL1230" s="4"/>
      <c r="CM1230" s="4"/>
      <c r="CN1230" s="4"/>
      <c r="CO1230" s="4"/>
      <c r="CP1230" s="4"/>
      <c r="CQ1230" s="4"/>
      <c r="CR1230" s="4"/>
      <c r="CS1230" s="4"/>
      <c r="CT1230" s="4"/>
      <c r="CU1230" s="4"/>
      <c r="CV1230" s="4"/>
      <c r="CW1230" s="4"/>
      <c r="CX1230" s="4"/>
      <c r="CY1230" s="4"/>
      <c r="CZ1230" s="4"/>
      <c r="DA1230" s="4"/>
      <c r="DB1230" s="4"/>
      <c r="DC1230" s="4"/>
      <c r="DD1230" s="4"/>
      <c r="DE1230" s="3"/>
      <c r="DF1230" s="3"/>
      <c r="DG1230" s="8"/>
      <c r="DH1230" s="4"/>
      <c r="DI1230" s="4"/>
      <c r="DJ1230" s="4"/>
      <c r="DK1230" s="4"/>
      <c r="DL1230" s="8"/>
      <c r="DM1230" s="8"/>
      <c r="DN1230" s="8"/>
      <c r="DO1230" s="8"/>
      <c r="DP1230" s="4"/>
      <c r="DQ1230" s="4"/>
      <c r="DR1230" s="4"/>
      <c r="DS1230" s="4"/>
      <c r="DT1230" s="4"/>
      <c r="DU1230" s="4"/>
      <c r="DV1230" s="4"/>
      <c r="DW1230" s="4"/>
      <c r="DX1230" s="4"/>
      <c r="DY1230" s="4"/>
      <c r="DZ1230" s="4"/>
      <c r="EA1230" s="4"/>
      <c r="EB1230" s="4"/>
      <c r="EC1230" s="4"/>
      <c r="ED1230" s="4"/>
      <c r="EE1230" s="4"/>
      <c r="EF1230" s="4"/>
      <c r="EG1230" s="4"/>
      <c r="EH1230" s="4"/>
      <c r="EI1230" s="4"/>
      <c r="EJ1230" s="8"/>
      <c r="EK1230" s="8"/>
      <c r="EL1230" s="8"/>
      <c r="EM1230" s="8"/>
      <c r="EN1230" s="8"/>
      <c r="EO1230" s="8"/>
      <c r="EP1230" s="4"/>
      <c r="EQ1230" s="4"/>
      <c r="ER1230" s="4"/>
    </row>
    <row r="1231" spans="1:153" hidden="1">
      <c r="A1231" s="11" t="s">
        <v>9940</v>
      </c>
      <c r="B1231" s="3" t="s">
        <v>8373</v>
      </c>
      <c r="C1231" s="3">
        <v>2014</v>
      </c>
      <c r="D1231" s="3" t="s">
        <v>9313</v>
      </c>
      <c r="E1231" s="3" t="s">
        <v>9314</v>
      </c>
      <c r="F1231" s="3">
        <v>0</v>
      </c>
      <c r="G1231" s="3" t="s">
        <v>9265</v>
      </c>
      <c r="H1231" s="3" t="s">
        <v>9317</v>
      </c>
      <c r="I1231" s="3"/>
      <c r="J1231" s="3"/>
      <c r="K1231" s="3" t="s">
        <v>140</v>
      </c>
      <c r="L1231" s="4"/>
      <c r="M1231" s="3" t="s">
        <v>8898</v>
      </c>
      <c r="T1231" s="3" t="s">
        <v>9315</v>
      </c>
      <c r="V1231" s="4"/>
      <c r="W1231" s="4"/>
      <c r="X1231" s="5" t="s">
        <v>9316</v>
      </c>
      <c r="Y1231" s="5"/>
      <c r="Z1231" s="4"/>
      <c r="AA1231" s="4"/>
      <c r="AB1231" s="4"/>
      <c r="AE1231" s="4"/>
      <c r="AF1231" s="4"/>
      <c r="AG1231" s="3"/>
      <c r="AH1231" s="3"/>
      <c r="AI1231" s="3"/>
      <c r="AJ1231" s="3"/>
      <c r="AK1231" s="4"/>
      <c r="AL1231" s="3"/>
      <c r="AM1231" s="4"/>
      <c r="AN1231" s="4"/>
      <c r="AO1231" s="3"/>
      <c r="AP1231" s="4"/>
      <c r="AQ1231" s="3"/>
      <c r="AR1231" s="4"/>
      <c r="AS1231" s="4"/>
      <c r="AT1231" s="4"/>
      <c r="AU1231" s="4"/>
      <c r="AV1231" s="4"/>
      <c r="AW1231" s="4"/>
      <c r="AX1231" s="4"/>
      <c r="AY1231" s="4"/>
      <c r="AZ1231" s="4"/>
      <c r="BA1231" s="4"/>
      <c r="BB1231" s="3"/>
      <c r="BC1231" s="3"/>
      <c r="BD1231" s="3"/>
      <c r="BE1231" s="4"/>
      <c r="BF1231" s="3"/>
      <c r="BG1231" s="4"/>
      <c r="BH1231" s="4"/>
      <c r="BI1231" s="3"/>
      <c r="BJ1231" s="4"/>
      <c r="BK1231" s="4"/>
      <c r="BL1231" s="4"/>
      <c r="BM1231" s="4"/>
      <c r="BN1231" s="4"/>
      <c r="BO1231" s="4"/>
      <c r="BP1231" s="4"/>
      <c r="BQ1231" s="4"/>
      <c r="BR1231" s="4"/>
      <c r="BS1231" s="4"/>
      <c r="BT1231" s="4"/>
      <c r="BU1231" s="4"/>
      <c r="BV1231" s="4"/>
      <c r="BW1231" s="4"/>
      <c r="BX1231" s="4"/>
      <c r="BY1231" s="4"/>
      <c r="BZ1231" s="4"/>
      <c r="CA1231" s="4"/>
      <c r="CB1231" s="4"/>
      <c r="CC1231" s="4"/>
      <c r="CD1231" s="4"/>
      <c r="CE1231" s="4"/>
      <c r="CF1231" s="4"/>
      <c r="CG1231" s="4"/>
      <c r="CH1231" s="4"/>
      <c r="CI1231" s="4"/>
      <c r="CJ1231" s="4"/>
      <c r="CK1231" s="4"/>
      <c r="CL1231" s="4"/>
      <c r="CM1231" s="3"/>
      <c r="CN1231" s="3"/>
      <c r="CO1231" s="4"/>
      <c r="CP1231" s="4"/>
      <c r="CQ1231" s="4"/>
      <c r="CR1231" s="4"/>
      <c r="CS1231" s="4"/>
      <c r="CT1231" s="4"/>
      <c r="CU1231" s="4"/>
      <c r="CV1231" s="4"/>
      <c r="CW1231" s="4"/>
      <c r="CX1231" s="4"/>
      <c r="CY1231" s="4"/>
      <c r="CZ1231" s="4"/>
      <c r="DA1231" s="4"/>
      <c r="DB1231" s="4"/>
      <c r="DC1231" s="4"/>
      <c r="DD1231" s="4"/>
      <c r="DE1231" s="4"/>
      <c r="DF1231" s="4"/>
      <c r="DG1231" s="4"/>
      <c r="DH1231" s="4"/>
      <c r="DI1231" s="4"/>
      <c r="DJ1231" s="4"/>
      <c r="DK1231" s="4"/>
      <c r="DL1231" s="4"/>
      <c r="DM1231" s="4"/>
      <c r="DN1231" s="4"/>
      <c r="DO1231" s="4"/>
      <c r="DP1231" s="4"/>
      <c r="DQ1231" s="4"/>
      <c r="DR1231" s="4"/>
      <c r="DS1231" s="4"/>
      <c r="DT1231" s="4"/>
      <c r="DU1231" s="4"/>
      <c r="DV1231" s="4"/>
      <c r="DW1231" s="4"/>
      <c r="DX1231" s="4"/>
      <c r="DY1231" s="4"/>
      <c r="DZ1231" s="4"/>
    </row>
    <row r="1232" spans="1:153" hidden="1">
      <c r="A1232" s="11" t="s">
        <v>9940</v>
      </c>
      <c r="B1232" s="3" t="s">
        <v>8386</v>
      </c>
      <c r="C1232" s="3">
        <v>2017</v>
      </c>
      <c r="D1232" s="3" t="s">
        <v>9318</v>
      </c>
      <c r="E1232" s="3" t="s">
        <v>9319</v>
      </c>
      <c r="F1232" s="3">
        <v>1</v>
      </c>
      <c r="G1232" s="3"/>
      <c r="H1232" s="3" t="s">
        <v>9322</v>
      </c>
      <c r="I1232" s="3"/>
      <c r="J1232" s="3"/>
      <c r="K1232" s="3" t="s">
        <v>9320</v>
      </c>
      <c r="L1232" s="3" t="s">
        <v>8390</v>
      </c>
      <c r="M1232" s="4"/>
      <c r="T1232" s="4"/>
      <c r="V1232" s="3"/>
      <c r="W1232" s="3"/>
      <c r="X1232" s="5" t="s">
        <v>9321</v>
      </c>
      <c r="Y1232" s="5"/>
      <c r="Z1232" s="3">
        <v>0</v>
      </c>
      <c r="AA1232" s="3" t="s">
        <v>9237</v>
      </c>
      <c r="AB1232" s="3"/>
      <c r="AE1232" s="3"/>
      <c r="AF1232" s="4"/>
      <c r="AG1232" s="4"/>
      <c r="AH1232" s="4"/>
      <c r="AI1232" s="4"/>
      <c r="AJ1232" s="4"/>
      <c r="AK1232" s="3"/>
      <c r="AL1232" s="3"/>
      <c r="AM1232" s="3"/>
      <c r="AN1232" s="3"/>
      <c r="AO1232" s="4"/>
      <c r="AP1232" s="3"/>
      <c r="AQ1232" s="4"/>
      <c r="AR1232" s="4"/>
      <c r="AS1232" s="4"/>
      <c r="AT1232" s="4"/>
      <c r="AU1232" s="4"/>
      <c r="AV1232" s="4"/>
      <c r="AW1232" s="3"/>
      <c r="AX1232" s="4"/>
      <c r="AY1232" s="4"/>
      <c r="AZ1232" s="3"/>
      <c r="BA1232" s="3"/>
      <c r="BB1232" s="4"/>
      <c r="BC1232" s="4"/>
      <c r="BD1232" s="3"/>
      <c r="BE1232" s="3"/>
      <c r="BF1232" s="3"/>
      <c r="BG1232" s="4"/>
      <c r="BH1232" s="3"/>
      <c r="BI1232" s="4"/>
      <c r="BJ1232" s="4"/>
      <c r="BK1232" s="3"/>
      <c r="BL1232" s="3"/>
      <c r="BM1232" s="4"/>
      <c r="BN1232" s="4"/>
      <c r="BO1232" s="4"/>
      <c r="BP1232" s="4"/>
      <c r="BQ1232" s="4"/>
      <c r="BR1232" s="4"/>
      <c r="BS1232" s="4"/>
      <c r="BT1232" s="4"/>
      <c r="BU1232" s="4"/>
      <c r="BV1232" s="4"/>
      <c r="BW1232" s="4"/>
      <c r="BX1232" s="4"/>
      <c r="BY1232" s="4"/>
      <c r="BZ1232" s="4"/>
      <c r="CA1232" s="4"/>
      <c r="CB1232" s="4"/>
      <c r="CC1232" s="4"/>
      <c r="CD1232" s="4"/>
      <c r="CE1232" s="4"/>
      <c r="CF1232" s="4"/>
      <c r="CG1232" s="4"/>
      <c r="CH1232" s="4"/>
      <c r="CI1232" s="4"/>
      <c r="CJ1232" s="4"/>
      <c r="CK1232" s="4"/>
      <c r="CL1232" s="4"/>
      <c r="CM1232" s="4"/>
      <c r="CN1232" s="4"/>
      <c r="CO1232" s="4"/>
      <c r="CP1232" s="4"/>
      <c r="CQ1232" s="4"/>
      <c r="CR1232" s="4"/>
      <c r="CS1232" s="4"/>
      <c r="CT1232" s="4"/>
      <c r="CU1232" s="4"/>
      <c r="CV1232" s="4"/>
      <c r="CW1232" s="4"/>
      <c r="CX1232" s="4"/>
      <c r="CY1232" s="4"/>
      <c r="CZ1232" s="4"/>
      <c r="DA1232" s="4"/>
      <c r="DB1232" s="4"/>
      <c r="DC1232" s="4"/>
      <c r="DD1232" s="4"/>
      <c r="DE1232" s="3"/>
      <c r="DF1232" s="3"/>
      <c r="DG1232" s="4"/>
      <c r="DH1232" s="4"/>
      <c r="DI1232" s="4"/>
      <c r="DJ1232" s="4"/>
      <c r="DK1232" s="4"/>
      <c r="DL1232" s="4"/>
      <c r="DM1232" s="4"/>
      <c r="DN1232" s="4"/>
      <c r="DO1232" s="4"/>
      <c r="DP1232" s="4"/>
      <c r="DQ1232" s="4"/>
      <c r="DR1232" s="4"/>
      <c r="DS1232" s="4"/>
      <c r="DT1232" s="4"/>
      <c r="DU1232" s="4"/>
      <c r="DV1232" s="4"/>
      <c r="DW1232" s="4"/>
      <c r="DX1232" s="4"/>
      <c r="DY1232" s="4"/>
      <c r="DZ1232" s="4"/>
      <c r="EA1232" s="4"/>
      <c r="EB1232" s="4"/>
      <c r="EC1232" s="4"/>
      <c r="ED1232" s="4"/>
      <c r="EE1232" s="4"/>
      <c r="EF1232" s="4"/>
      <c r="EG1232" s="4"/>
      <c r="EH1232" s="4"/>
      <c r="EI1232" s="4"/>
      <c r="EJ1232" s="4"/>
      <c r="EK1232" s="4"/>
      <c r="EL1232" s="4"/>
      <c r="EM1232" s="4"/>
      <c r="EN1232" s="4"/>
      <c r="EO1232" s="4"/>
      <c r="EP1232" s="4"/>
      <c r="EQ1232" s="4"/>
      <c r="ER1232" s="4"/>
    </row>
    <row r="1233" spans="1:150" hidden="1">
      <c r="A1233" s="11" t="s">
        <v>9940</v>
      </c>
      <c r="B1233" s="3" t="s">
        <v>8373</v>
      </c>
      <c r="C1233" s="3">
        <v>1994</v>
      </c>
      <c r="D1233" s="3" t="s">
        <v>8580</v>
      </c>
      <c r="E1233" s="3" t="s">
        <v>8581</v>
      </c>
      <c r="F1233" s="3">
        <v>1</v>
      </c>
      <c r="G1233" s="3"/>
      <c r="H1233" s="3" t="s">
        <v>8585</v>
      </c>
      <c r="I1233" s="3"/>
      <c r="J1233" s="3"/>
      <c r="K1233" s="3" t="s">
        <v>370</v>
      </c>
      <c r="L1233" s="4"/>
      <c r="M1233" s="3" t="s">
        <v>8582</v>
      </c>
      <c r="T1233" s="3" t="s">
        <v>8583</v>
      </c>
      <c r="V1233" s="3"/>
      <c r="W1233" s="4"/>
      <c r="X1233" s="5" t="s">
        <v>8584</v>
      </c>
      <c r="Y1233" s="5"/>
      <c r="Z1233" s="3">
        <v>1</v>
      </c>
      <c r="AA1233" s="4"/>
      <c r="AB1233" s="4"/>
      <c r="AE1233" s="3"/>
      <c r="AF1233" s="3"/>
      <c r="AG1233" s="4"/>
      <c r="AH1233" s="4"/>
      <c r="AI1233" s="4"/>
      <c r="AJ1233" s="4"/>
      <c r="AK1233" s="3"/>
      <c r="AL1233" s="3"/>
      <c r="AM1233" s="3"/>
      <c r="AN1233" s="3"/>
      <c r="AO1233" s="4"/>
      <c r="AP1233" s="3"/>
      <c r="AQ1233" s="4"/>
      <c r="AR1233" s="3"/>
      <c r="AS1233" s="3"/>
      <c r="AT1233" s="4"/>
      <c r="AU1233" s="3"/>
      <c r="AV1233" s="4"/>
      <c r="AW1233" s="4"/>
      <c r="AX1233" s="4"/>
      <c r="AY1233" s="4"/>
      <c r="AZ1233" s="4"/>
      <c r="BA1233" s="4"/>
      <c r="BB1233" s="4"/>
      <c r="BC1233" s="4"/>
      <c r="BD1233" s="4"/>
      <c r="BE1233" s="4"/>
      <c r="BF1233" s="3"/>
      <c r="BG1233" s="3"/>
      <c r="BH1233" s="3"/>
      <c r="BI1233" s="4"/>
      <c r="BJ1233" s="3"/>
      <c r="BK1233" s="4"/>
      <c r="BL1233" s="4"/>
      <c r="BM1233" s="3"/>
      <c r="BN1233" s="4"/>
      <c r="BO1233" s="4"/>
      <c r="BP1233" s="4"/>
      <c r="BQ1233" s="4"/>
      <c r="BR1233" s="4"/>
      <c r="BS1233" s="4"/>
      <c r="BT1233" s="4"/>
      <c r="BU1233" s="4"/>
      <c r="BV1233" s="4"/>
      <c r="BW1233" s="4"/>
      <c r="BX1233" s="4"/>
      <c r="BY1233" s="4"/>
      <c r="BZ1233" s="4"/>
      <c r="CA1233" s="4"/>
      <c r="CB1233" s="4"/>
      <c r="CC1233" s="4"/>
      <c r="CD1233" s="4"/>
      <c r="CE1233" s="4"/>
      <c r="CF1233" s="4"/>
      <c r="CG1233" s="4"/>
      <c r="CH1233" s="4"/>
      <c r="CI1233" s="4"/>
      <c r="CJ1233" s="4"/>
      <c r="CK1233" s="4"/>
      <c r="CL1233" s="4"/>
      <c r="CM1233" s="4"/>
      <c r="CN1233" s="4"/>
      <c r="CO1233" s="4"/>
      <c r="CP1233" s="4"/>
      <c r="CQ1233" s="4"/>
      <c r="CR1233" s="4"/>
      <c r="CS1233" s="4"/>
      <c r="CT1233" s="4"/>
      <c r="CU1233" s="4"/>
      <c r="CV1233" s="4"/>
      <c r="CW1233" s="4"/>
      <c r="CX1233" s="4"/>
      <c r="CY1233" s="4"/>
      <c r="CZ1233" s="4"/>
      <c r="DA1233" s="4"/>
      <c r="DB1233" s="4"/>
      <c r="DC1233" s="4"/>
      <c r="DD1233" s="4"/>
      <c r="DE1233" s="4"/>
      <c r="DF1233" s="3"/>
      <c r="DG1233" s="3"/>
      <c r="DH1233" s="8"/>
      <c r="DI1233" s="4"/>
      <c r="DJ1233" s="4"/>
      <c r="DK1233" s="4"/>
      <c r="DL1233" s="4"/>
      <c r="DM1233" s="8"/>
      <c r="DN1233" s="8"/>
      <c r="DO1233" s="8"/>
      <c r="DP1233" s="8"/>
      <c r="DQ1233" s="4"/>
      <c r="DR1233" s="4"/>
      <c r="DS1233" s="4"/>
      <c r="DT1233" s="4"/>
      <c r="DU1233" s="4"/>
      <c r="DV1233" s="4"/>
      <c r="DW1233" s="4"/>
      <c r="DX1233" s="4"/>
      <c r="DY1233" s="4"/>
      <c r="DZ1233" s="4"/>
      <c r="EA1233" s="4"/>
      <c r="EB1233" s="4"/>
      <c r="EC1233" s="4"/>
      <c r="ED1233" s="4"/>
      <c r="EE1233" s="4"/>
      <c r="EF1233" s="4"/>
      <c r="EG1233" s="4"/>
      <c r="EH1233" s="4"/>
      <c r="EI1233" s="4"/>
      <c r="EJ1233" s="4"/>
      <c r="EK1233" s="8"/>
      <c r="EL1233" s="8"/>
      <c r="EM1233" s="8"/>
      <c r="EN1233" s="8"/>
      <c r="EO1233" s="8"/>
      <c r="EP1233" s="8"/>
      <c r="EQ1233" s="4"/>
      <c r="ER1233" s="4"/>
      <c r="ES1233" s="4"/>
    </row>
    <row r="1234" spans="1:150" hidden="1">
      <c r="A1234" s="11" t="s">
        <v>9940</v>
      </c>
      <c r="B1234" s="3" t="s">
        <v>8373</v>
      </c>
      <c r="C1234" s="3">
        <v>2019</v>
      </c>
      <c r="D1234" s="3" t="s">
        <v>2459</v>
      </c>
      <c r="E1234" s="3" t="s">
        <v>9324</v>
      </c>
      <c r="F1234" s="3">
        <v>0</v>
      </c>
      <c r="G1234" s="3" t="s">
        <v>9249</v>
      </c>
      <c r="H1234" s="3" t="s">
        <v>9326</v>
      </c>
      <c r="I1234" s="3"/>
      <c r="J1234" s="3"/>
      <c r="K1234" s="3" t="s">
        <v>2460</v>
      </c>
      <c r="L1234" s="4"/>
      <c r="M1234" s="3" t="s">
        <v>9325</v>
      </c>
      <c r="T1234" s="3" t="s">
        <v>2462</v>
      </c>
      <c r="V1234" s="4"/>
      <c r="W1234" s="4"/>
      <c r="X1234" s="5" t="s">
        <v>2465</v>
      </c>
      <c r="Y1234" s="5"/>
      <c r="Z1234" s="4"/>
      <c r="AA1234" s="4"/>
      <c r="AB1234" s="4"/>
      <c r="AE1234" s="4"/>
      <c r="AF1234" s="4"/>
      <c r="AG1234" s="3"/>
      <c r="AH1234" s="3"/>
      <c r="AI1234" s="3"/>
      <c r="AJ1234" s="3"/>
      <c r="AK1234" s="4"/>
      <c r="AL1234" s="3"/>
      <c r="AM1234" s="3"/>
      <c r="AN1234" s="3"/>
      <c r="AO1234" s="4"/>
      <c r="AP1234" s="3"/>
      <c r="AQ1234" s="4"/>
      <c r="AR1234" s="3"/>
      <c r="AS1234" s="4"/>
      <c r="AT1234" s="4"/>
      <c r="AU1234" s="4"/>
      <c r="AV1234" s="4"/>
      <c r="AW1234" s="4"/>
      <c r="AX1234" s="4"/>
      <c r="AY1234" s="3"/>
      <c r="AZ1234" s="3"/>
      <c r="BA1234" s="3"/>
      <c r="BB1234" s="4"/>
      <c r="BC1234" s="3"/>
      <c r="BD1234" s="4"/>
      <c r="BE1234" s="3"/>
      <c r="BF1234" s="4"/>
      <c r="BG1234" s="4"/>
      <c r="BH1234" s="4"/>
      <c r="BI1234" s="4"/>
      <c r="BJ1234" s="4"/>
      <c r="BK1234" s="4"/>
      <c r="BL1234" s="4"/>
      <c r="BM1234" s="4"/>
      <c r="BN1234" s="4"/>
      <c r="BO1234" s="4"/>
      <c r="BP1234" s="4"/>
      <c r="BQ1234" s="4"/>
      <c r="BR1234" s="4"/>
      <c r="BS1234" s="4"/>
      <c r="BT1234" s="4"/>
      <c r="BU1234" s="4"/>
      <c r="BV1234" s="4"/>
      <c r="BW1234" s="4"/>
      <c r="BX1234" s="4"/>
      <c r="BY1234" s="4"/>
      <c r="BZ1234" s="4"/>
      <c r="CA1234" s="4"/>
      <c r="CB1234" s="4"/>
      <c r="CC1234" s="4"/>
      <c r="CD1234" s="4"/>
      <c r="CE1234" s="4"/>
      <c r="CF1234" s="4"/>
      <c r="CG1234" s="4"/>
      <c r="CH1234" s="4"/>
      <c r="CI1234" s="3"/>
      <c r="CJ1234" s="3"/>
      <c r="CK1234" s="4"/>
      <c r="CL1234" s="4"/>
      <c r="CM1234" s="4"/>
      <c r="CN1234" s="4"/>
      <c r="CO1234" s="4"/>
      <c r="CP1234" s="4"/>
      <c r="CQ1234" s="4"/>
      <c r="CR1234" s="4"/>
      <c r="CS1234" s="4"/>
      <c r="CT1234" s="4"/>
      <c r="CU1234" s="4"/>
      <c r="CV1234" s="4"/>
      <c r="CW1234" s="4"/>
      <c r="CX1234" s="4"/>
      <c r="CY1234" s="4"/>
      <c r="CZ1234" s="4"/>
      <c r="DA1234" s="4"/>
      <c r="DB1234" s="4"/>
      <c r="DC1234" s="4"/>
      <c r="DD1234" s="4"/>
      <c r="DE1234" s="4"/>
      <c r="DF1234" s="4"/>
      <c r="DG1234" s="4"/>
      <c r="DH1234" s="4"/>
      <c r="DI1234" s="4"/>
      <c r="DJ1234" s="4"/>
      <c r="DK1234" s="4"/>
      <c r="DL1234" s="4"/>
      <c r="DM1234" s="4"/>
      <c r="DN1234" s="4"/>
      <c r="DO1234" s="4"/>
      <c r="DP1234" s="4"/>
      <c r="DQ1234" s="4"/>
      <c r="DR1234" s="4"/>
      <c r="DS1234" s="4"/>
      <c r="DT1234" s="4"/>
      <c r="DU1234" s="4"/>
      <c r="DV1234" s="4"/>
    </row>
    <row r="1235" spans="1:150" hidden="1">
      <c r="A1235" s="11" t="s">
        <v>9940</v>
      </c>
      <c r="B1235" s="3" t="s">
        <v>8373</v>
      </c>
      <c r="C1235" s="3">
        <v>2016</v>
      </c>
      <c r="D1235" s="3" t="s">
        <v>3608</v>
      </c>
      <c r="E1235" s="3" t="s">
        <v>9327</v>
      </c>
      <c r="F1235" s="3">
        <v>0</v>
      </c>
      <c r="G1235" s="3" t="s">
        <v>9178</v>
      </c>
      <c r="H1235" s="3" t="s">
        <v>3613</v>
      </c>
      <c r="I1235" s="3"/>
      <c r="J1235" s="3"/>
      <c r="K1235" s="3" t="s">
        <v>3609</v>
      </c>
      <c r="L1235" s="4"/>
      <c r="M1235" s="3" t="s">
        <v>9028</v>
      </c>
      <c r="T1235" s="3" t="s">
        <v>3611</v>
      </c>
      <c r="V1235" s="4"/>
      <c r="W1235" s="4"/>
      <c r="X1235" s="5" t="s">
        <v>3614</v>
      </c>
      <c r="Y1235" s="5"/>
      <c r="Z1235" s="4"/>
      <c r="AA1235" s="4"/>
      <c r="AB1235" s="4"/>
      <c r="AE1235" s="4"/>
      <c r="AF1235" s="4"/>
      <c r="AG1235" s="3"/>
      <c r="AH1235" s="3"/>
      <c r="AI1235" s="3"/>
      <c r="AJ1235" s="3"/>
      <c r="AK1235" s="4"/>
      <c r="AL1235" s="3"/>
      <c r="AM1235" s="4"/>
      <c r="AN1235" s="3"/>
      <c r="AO1235" s="3"/>
      <c r="AP1235" s="4"/>
      <c r="AQ1235" s="3"/>
      <c r="AR1235" s="4"/>
      <c r="AS1235" s="4"/>
      <c r="AT1235" s="4"/>
      <c r="AU1235" s="4"/>
      <c r="AV1235" s="4"/>
      <c r="AW1235" s="4"/>
      <c r="AX1235" s="4"/>
      <c r="AY1235" s="4"/>
      <c r="AZ1235" s="4"/>
      <c r="BA1235" s="4"/>
      <c r="BB1235" s="3"/>
      <c r="BC1235" s="3"/>
      <c r="BD1235" s="3"/>
      <c r="BE1235" s="4"/>
      <c r="BF1235" s="3"/>
      <c r="BG1235" s="4"/>
      <c r="BH1235" s="4"/>
      <c r="BI1235" s="3"/>
      <c r="BJ1235" s="4"/>
      <c r="BK1235" s="4"/>
      <c r="BL1235" s="4"/>
      <c r="BM1235" s="4"/>
      <c r="BN1235" s="4"/>
      <c r="BO1235" s="4"/>
      <c r="BP1235" s="4"/>
      <c r="BQ1235" s="4"/>
      <c r="BR1235" s="4"/>
      <c r="BS1235" s="4"/>
      <c r="BT1235" s="4"/>
      <c r="BU1235" s="4"/>
      <c r="BV1235" s="4"/>
      <c r="BW1235" s="4"/>
      <c r="BX1235" s="4"/>
      <c r="BY1235" s="4"/>
      <c r="BZ1235" s="4"/>
      <c r="CA1235" s="4"/>
      <c r="CB1235" s="4"/>
      <c r="CC1235" s="4"/>
      <c r="CD1235" s="4"/>
      <c r="CE1235" s="4"/>
      <c r="CF1235" s="4"/>
      <c r="CG1235" s="4"/>
      <c r="CH1235" s="4"/>
      <c r="CI1235" s="4"/>
      <c r="CJ1235" s="4"/>
      <c r="CK1235" s="4"/>
      <c r="CL1235" s="4"/>
      <c r="CM1235" s="4"/>
      <c r="CN1235" s="4"/>
      <c r="CO1235" s="4"/>
      <c r="CP1235" s="4"/>
      <c r="CQ1235" s="4"/>
      <c r="CR1235" s="4"/>
      <c r="CS1235" s="4"/>
      <c r="CT1235" s="4"/>
      <c r="CU1235" s="4"/>
      <c r="CV1235" s="4"/>
      <c r="CW1235" s="4"/>
      <c r="CX1235" s="4"/>
      <c r="CY1235" s="4"/>
      <c r="CZ1235" s="4"/>
      <c r="DA1235" s="4"/>
      <c r="DB1235" s="4"/>
      <c r="DC1235" s="3"/>
      <c r="DD1235" s="3"/>
      <c r="DE1235" s="4"/>
      <c r="DF1235" s="4"/>
      <c r="DG1235" s="4"/>
      <c r="DH1235" s="4"/>
      <c r="DI1235" s="4"/>
      <c r="DJ1235" s="4"/>
      <c r="DK1235" s="4"/>
      <c r="DL1235" s="4"/>
      <c r="DM1235" s="4"/>
      <c r="DN1235" s="4"/>
      <c r="DO1235" s="4"/>
      <c r="DP1235" s="4"/>
      <c r="DQ1235" s="4"/>
      <c r="DR1235" s="4"/>
      <c r="DS1235" s="4"/>
      <c r="DT1235" s="4"/>
      <c r="DU1235" s="4"/>
      <c r="DV1235" s="4"/>
      <c r="DW1235" s="4"/>
      <c r="DX1235" s="4"/>
      <c r="DY1235" s="4"/>
      <c r="DZ1235" s="4"/>
      <c r="EA1235" s="4"/>
      <c r="EB1235" s="4"/>
      <c r="EC1235" s="4"/>
      <c r="ED1235" s="4"/>
      <c r="EE1235" s="4"/>
      <c r="EF1235" s="4"/>
      <c r="EG1235" s="4"/>
      <c r="EH1235" s="4"/>
      <c r="EI1235" s="4"/>
      <c r="EJ1235" s="4"/>
      <c r="EK1235" s="4"/>
      <c r="EL1235" s="4"/>
      <c r="EM1235" s="4"/>
      <c r="EN1235" s="4"/>
      <c r="EO1235" s="4"/>
      <c r="EP1235" s="4"/>
    </row>
    <row r="1236" spans="1:150" hidden="1">
      <c r="A1236" s="11" t="s">
        <v>9940</v>
      </c>
      <c r="B1236" s="3" t="s">
        <v>8379</v>
      </c>
      <c r="C1236" s="3">
        <v>2013</v>
      </c>
      <c r="D1236" s="3" t="s">
        <v>283</v>
      </c>
      <c r="E1236" s="3" t="s">
        <v>8586</v>
      </c>
      <c r="F1236" s="3">
        <v>1</v>
      </c>
      <c r="G1236" s="4"/>
      <c r="H1236" s="3" t="s">
        <v>287</v>
      </c>
      <c r="I1236" s="3"/>
      <c r="J1236" s="3"/>
      <c r="K1236" s="4"/>
      <c r="L1236" s="4"/>
      <c r="M1236" s="4"/>
      <c r="T1236" s="4"/>
      <c r="V1236" s="3"/>
      <c r="W1236" s="3"/>
      <c r="X1236" s="5" t="s">
        <v>288</v>
      </c>
      <c r="Y1236" s="5"/>
      <c r="Z1236" s="3">
        <v>1</v>
      </c>
      <c r="AA1236" s="4"/>
      <c r="AB1236" s="4"/>
      <c r="AE1236" s="3"/>
      <c r="AF1236" s="3"/>
      <c r="AG1236" s="3"/>
      <c r="AH1236" s="4"/>
      <c r="AI1236" s="4"/>
      <c r="AJ1236" s="4"/>
      <c r="AK1236" s="3"/>
      <c r="AL1236" s="3"/>
      <c r="AM1236" s="3"/>
      <c r="AN1236" s="3"/>
      <c r="AO1236" s="4"/>
      <c r="AP1236" s="4"/>
      <c r="AQ1236" s="4"/>
      <c r="AR1236" s="4"/>
      <c r="AS1236" s="4"/>
      <c r="AT1236" s="4"/>
      <c r="AU1236" s="4"/>
      <c r="AV1236" s="4"/>
      <c r="AW1236" s="4"/>
      <c r="AX1236" s="4"/>
      <c r="AY1236" s="4"/>
      <c r="AZ1236" s="4"/>
      <c r="BA1236" s="3"/>
      <c r="BB1236" s="4"/>
      <c r="BC1236" s="3"/>
      <c r="BD1236" s="3"/>
      <c r="BE1236" s="3"/>
      <c r="BF1236" s="4"/>
      <c r="BG1236" s="3"/>
      <c r="BH1236" s="3"/>
      <c r="BI1236" s="4"/>
      <c r="BJ1236" s="4"/>
      <c r="BK1236" s="4"/>
      <c r="BL1236" s="4"/>
      <c r="BM1236" s="4"/>
      <c r="BN1236" s="4"/>
      <c r="BO1236" s="4"/>
      <c r="BP1236" s="4"/>
      <c r="BQ1236" s="4"/>
      <c r="BR1236" s="4"/>
      <c r="BS1236" s="4"/>
      <c r="BT1236" s="4"/>
      <c r="BU1236" s="4"/>
      <c r="BV1236" s="4"/>
      <c r="BW1236" s="4"/>
      <c r="BX1236" s="4"/>
      <c r="BY1236" s="4"/>
      <c r="BZ1236" s="4"/>
      <c r="CA1236" s="4"/>
      <c r="CB1236" s="4"/>
      <c r="CC1236" s="4"/>
      <c r="CD1236" s="4"/>
      <c r="CE1236" s="4"/>
      <c r="CF1236" s="4"/>
      <c r="CG1236" s="4"/>
      <c r="CH1236" s="4"/>
      <c r="CI1236" s="4"/>
      <c r="CJ1236" s="4"/>
      <c r="CK1236" s="4"/>
      <c r="CL1236" s="4"/>
      <c r="CM1236" s="4"/>
      <c r="CN1236" s="4"/>
      <c r="CO1236" s="4"/>
      <c r="CP1236" s="4"/>
      <c r="CQ1236" s="4"/>
      <c r="CR1236" s="4"/>
      <c r="CS1236" s="4"/>
      <c r="CT1236" s="4"/>
      <c r="CU1236" s="4"/>
      <c r="CV1236" s="4"/>
      <c r="CW1236" s="4"/>
      <c r="CX1236" s="4"/>
      <c r="CY1236" s="4"/>
      <c r="CZ1236" s="4"/>
      <c r="DA1236" s="4"/>
      <c r="DB1236" s="4"/>
      <c r="DC1236" s="3"/>
      <c r="DD1236" s="3"/>
      <c r="DE1236" s="3"/>
      <c r="DF1236" s="4"/>
      <c r="DG1236" s="4"/>
      <c r="DH1236" s="4"/>
      <c r="DI1236" s="4"/>
      <c r="DJ1236" s="3"/>
      <c r="DK1236" s="3"/>
      <c r="DL1236" s="3"/>
      <c r="DM1236" s="3"/>
      <c r="DN1236" s="4"/>
      <c r="DO1236" s="4"/>
      <c r="DP1236" s="4"/>
      <c r="DQ1236" s="4"/>
      <c r="DR1236" s="8"/>
      <c r="DS1236" s="4"/>
      <c r="DT1236" s="4"/>
      <c r="DU1236" s="4"/>
      <c r="DV1236" s="4"/>
      <c r="DW1236" s="4"/>
      <c r="DX1236" s="4"/>
      <c r="DY1236" s="4"/>
      <c r="DZ1236" s="4"/>
      <c r="EA1236" s="4"/>
      <c r="EB1236" s="4"/>
      <c r="EC1236" s="4"/>
      <c r="ED1236" s="4"/>
      <c r="EE1236" s="4"/>
      <c r="EF1236" s="4"/>
      <c r="EG1236" s="4"/>
      <c r="EH1236" s="3"/>
      <c r="EI1236" s="3"/>
      <c r="EJ1236" s="3"/>
      <c r="EK1236" s="3"/>
      <c r="EL1236" s="3"/>
      <c r="EM1236" s="3"/>
      <c r="EN1236" s="4"/>
      <c r="EO1236" s="4"/>
      <c r="EP1236" s="3"/>
    </row>
    <row r="1237" spans="1:150" hidden="1">
      <c r="A1237" s="11" t="s">
        <v>9940</v>
      </c>
      <c r="B1237" s="3" t="s">
        <v>8373</v>
      </c>
      <c r="C1237" s="3">
        <v>2011</v>
      </c>
      <c r="D1237" s="3" t="s">
        <v>1232</v>
      </c>
      <c r="E1237" s="3" t="s">
        <v>9328</v>
      </c>
      <c r="F1237" s="3">
        <v>1</v>
      </c>
      <c r="G1237" s="3"/>
      <c r="H1237" s="3" t="s">
        <v>1238</v>
      </c>
      <c r="I1237" s="3"/>
      <c r="J1237" s="3"/>
      <c r="K1237" s="3" t="s">
        <v>1233</v>
      </c>
      <c r="L1237" s="4"/>
      <c r="M1237" s="3" t="s">
        <v>9329</v>
      </c>
      <c r="T1237" s="3" t="s">
        <v>1235</v>
      </c>
      <c r="V1237" s="3"/>
      <c r="W1237" s="3"/>
      <c r="X1237" s="5" t="s">
        <v>1239</v>
      </c>
      <c r="Y1237" s="5"/>
      <c r="Z1237" s="3">
        <v>0</v>
      </c>
      <c r="AA1237" s="3" t="s">
        <v>9237</v>
      </c>
      <c r="AB1237" s="3"/>
      <c r="AE1237" s="3"/>
      <c r="AF1237" s="3"/>
      <c r="AG1237" s="4"/>
      <c r="AH1237" s="4"/>
      <c r="AI1237" s="4"/>
      <c r="AJ1237" s="4"/>
      <c r="AK1237" s="3"/>
      <c r="AL1237" s="3"/>
      <c r="AM1237" s="3"/>
      <c r="AN1237" s="3"/>
      <c r="AO1237" s="4"/>
      <c r="AP1237" s="3"/>
      <c r="AQ1237" s="4"/>
      <c r="AR1237" s="3"/>
      <c r="AS1237" s="3"/>
      <c r="AT1237" s="4"/>
      <c r="AU1237" s="3"/>
      <c r="AV1237" s="4"/>
      <c r="AW1237" s="4"/>
      <c r="AX1237" s="4"/>
      <c r="AY1237" s="4"/>
      <c r="AZ1237" s="4"/>
      <c r="BA1237" s="4"/>
      <c r="BB1237" s="4"/>
      <c r="BC1237" s="4"/>
      <c r="BD1237" s="4"/>
      <c r="BE1237" s="4"/>
      <c r="BF1237" s="3"/>
      <c r="BG1237" s="3"/>
      <c r="BH1237" s="3"/>
      <c r="BI1237" s="4"/>
      <c r="BJ1237" s="3"/>
      <c r="BK1237" s="4"/>
      <c r="BL1237" s="3"/>
      <c r="BM1237" s="4"/>
      <c r="BN1237" s="4"/>
      <c r="BO1237" s="4"/>
      <c r="BP1237" s="4"/>
      <c r="BQ1237" s="4"/>
      <c r="BR1237" s="4"/>
      <c r="BS1237" s="4"/>
      <c r="BT1237" s="4"/>
      <c r="BU1237" s="4"/>
      <c r="BV1237" s="4"/>
      <c r="BW1237" s="4"/>
      <c r="BX1237" s="4"/>
      <c r="BY1237" s="4"/>
      <c r="BZ1237" s="4"/>
      <c r="CA1237" s="4"/>
      <c r="CB1237" s="4"/>
      <c r="CC1237" s="4"/>
      <c r="CD1237" s="4"/>
      <c r="CE1237" s="4"/>
      <c r="CF1237" s="4"/>
      <c r="CG1237" s="4"/>
      <c r="CH1237" s="4"/>
      <c r="CI1237" s="4"/>
      <c r="CJ1237" s="4"/>
      <c r="CK1237" s="4"/>
      <c r="CL1237" s="4"/>
      <c r="CM1237" s="4"/>
      <c r="CN1237" s="4"/>
      <c r="CO1237" s="4"/>
      <c r="CP1237" s="4"/>
      <c r="CQ1237" s="4"/>
      <c r="CR1237" s="4"/>
      <c r="CS1237" s="4"/>
      <c r="CT1237" s="4"/>
      <c r="CU1237" s="4"/>
      <c r="CV1237" s="4"/>
      <c r="CW1237" s="4"/>
      <c r="CX1237" s="4"/>
      <c r="CY1237" s="4"/>
      <c r="CZ1237" s="4"/>
      <c r="DA1237" s="4"/>
      <c r="DB1237" s="4"/>
      <c r="DC1237" s="4"/>
      <c r="DD1237" s="3"/>
      <c r="DE1237" s="3"/>
      <c r="DF1237" s="8"/>
      <c r="DG1237" s="4"/>
      <c r="DH1237" s="4"/>
      <c r="DI1237" s="4"/>
      <c r="DJ1237" s="4"/>
      <c r="DK1237" s="8"/>
      <c r="DL1237" s="8"/>
      <c r="DM1237" s="8"/>
      <c r="DN1237" s="8"/>
      <c r="DO1237" s="4"/>
      <c r="DP1237" s="4"/>
      <c r="DQ1237" s="4"/>
      <c r="DR1237" s="4"/>
      <c r="DS1237" s="4"/>
      <c r="DT1237" s="4"/>
      <c r="DU1237" s="4"/>
      <c r="DV1237" s="4"/>
      <c r="DW1237" s="4"/>
      <c r="DX1237" s="4"/>
      <c r="DY1237" s="4"/>
      <c r="DZ1237" s="4"/>
      <c r="EA1237" s="4"/>
      <c r="EB1237" s="4"/>
      <c r="EC1237" s="4"/>
      <c r="ED1237" s="4"/>
      <c r="EE1237" s="4"/>
      <c r="EF1237" s="4"/>
      <c r="EG1237" s="4"/>
      <c r="EH1237" s="4"/>
      <c r="EI1237" s="8"/>
      <c r="EJ1237" s="8"/>
      <c r="EK1237" s="8"/>
      <c r="EL1237" s="8"/>
      <c r="EM1237" s="8"/>
      <c r="EN1237" s="8"/>
      <c r="EO1237" s="4"/>
      <c r="EP1237" s="4"/>
      <c r="EQ1237" s="4"/>
    </row>
    <row r="1238" spans="1:150" hidden="1">
      <c r="A1238" s="11" t="s">
        <v>9940</v>
      </c>
      <c r="B1238" s="3" t="s">
        <v>8373</v>
      </c>
      <c r="C1238" s="3">
        <v>2019</v>
      </c>
      <c r="D1238" s="3" t="s">
        <v>3082</v>
      </c>
      <c r="E1238" s="3" t="s">
        <v>9330</v>
      </c>
      <c r="F1238" s="3">
        <v>1</v>
      </c>
      <c r="G1238" s="3"/>
      <c r="H1238" s="3" t="s">
        <v>9332</v>
      </c>
      <c r="I1238" s="3"/>
      <c r="J1238" s="3"/>
      <c r="K1238" s="3" t="s">
        <v>3083</v>
      </c>
      <c r="L1238" s="4"/>
      <c r="M1238" s="3" t="s">
        <v>9331</v>
      </c>
      <c r="T1238" s="3" t="s">
        <v>3085</v>
      </c>
      <c r="V1238" s="3"/>
      <c r="W1238" s="3"/>
      <c r="X1238" s="5" t="s">
        <v>3088</v>
      </c>
      <c r="Y1238" s="5"/>
      <c r="Z1238" s="3">
        <v>0</v>
      </c>
      <c r="AA1238" s="3" t="s">
        <v>9237</v>
      </c>
      <c r="AB1238" s="4"/>
      <c r="AE1238" s="3"/>
      <c r="AF1238" s="4"/>
      <c r="AG1238" s="4"/>
      <c r="AH1238" s="4"/>
      <c r="AI1238" s="4"/>
      <c r="AJ1238" s="4"/>
      <c r="AK1238" s="3"/>
      <c r="AL1238" s="3"/>
      <c r="AM1238" s="3"/>
      <c r="AN1238" s="3"/>
      <c r="AO1238" s="4"/>
      <c r="AP1238" s="3"/>
      <c r="AQ1238" s="4"/>
      <c r="AR1238" s="3"/>
      <c r="AS1238" s="3"/>
      <c r="AT1238" s="4"/>
      <c r="AU1238" s="3"/>
      <c r="AV1238" s="4"/>
      <c r="AW1238" s="4"/>
      <c r="AX1238" s="4"/>
      <c r="AY1238" s="4"/>
      <c r="AZ1238" s="4"/>
      <c r="BA1238" s="4"/>
      <c r="BB1238" s="4"/>
      <c r="BC1238" s="4"/>
      <c r="BD1238" s="4"/>
      <c r="BE1238" s="4"/>
      <c r="BF1238" s="3"/>
      <c r="BG1238" s="3"/>
      <c r="BH1238" s="3"/>
      <c r="BI1238" s="4"/>
      <c r="BJ1238" s="3"/>
      <c r="BK1238" s="4"/>
      <c r="BL1238" s="3"/>
      <c r="BM1238" s="4"/>
      <c r="BN1238" s="4"/>
      <c r="BO1238" s="4"/>
      <c r="BP1238" s="4"/>
      <c r="BQ1238" s="4"/>
      <c r="BR1238" s="4"/>
      <c r="BS1238" s="4"/>
      <c r="BT1238" s="4"/>
      <c r="BU1238" s="4"/>
      <c r="BV1238" s="4"/>
      <c r="BW1238" s="4"/>
      <c r="BX1238" s="4"/>
      <c r="BY1238" s="4"/>
      <c r="BZ1238" s="4"/>
      <c r="CA1238" s="4"/>
      <c r="CB1238" s="4"/>
      <c r="CC1238" s="4"/>
      <c r="CD1238" s="4"/>
      <c r="CE1238" s="4"/>
      <c r="CF1238" s="4"/>
      <c r="CG1238" s="4"/>
      <c r="CH1238" s="4"/>
      <c r="CI1238" s="4"/>
      <c r="CJ1238" s="4"/>
      <c r="CK1238" s="4"/>
      <c r="CL1238" s="4"/>
      <c r="CM1238" s="4"/>
      <c r="CN1238" s="4"/>
      <c r="CO1238" s="4"/>
      <c r="CP1238" s="4"/>
      <c r="CQ1238" s="4"/>
      <c r="CR1238" s="4"/>
      <c r="CS1238" s="4"/>
      <c r="CT1238" s="4"/>
      <c r="CU1238" s="4"/>
      <c r="CV1238" s="3"/>
      <c r="CW1238" s="3"/>
      <c r="CX1238" s="4"/>
      <c r="CY1238" s="4"/>
      <c r="CZ1238" s="4"/>
      <c r="DA1238" s="4"/>
      <c r="DB1238" s="4"/>
      <c r="DC1238" s="4"/>
      <c r="DD1238" s="4"/>
      <c r="DE1238" s="4"/>
      <c r="DF1238" s="4"/>
      <c r="DG1238" s="4"/>
      <c r="DH1238" s="4"/>
      <c r="DI1238" s="4"/>
      <c r="DJ1238" s="4"/>
      <c r="DK1238" s="4"/>
      <c r="DL1238" s="4"/>
      <c r="DM1238" s="4"/>
      <c r="DN1238" s="4"/>
      <c r="DO1238" s="4"/>
      <c r="DP1238" s="4"/>
      <c r="DQ1238" s="4"/>
      <c r="DR1238" s="4"/>
      <c r="DS1238" s="4"/>
      <c r="DT1238" s="4"/>
      <c r="DU1238" s="4"/>
      <c r="DV1238" s="4"/>
      <c r="DW1238" s="4"/>
      <c r="DX1238" s="4"/>
      <c r="DY1238" s="4"/>
      <c r="DZ1238" s="4"/>
      <c r="EA1238" s="4"/>
      <c r="EB1238" s="4"/>
      <c r="EC1238" s="4"/>
      <c r="ED1238" s="4"/>
      <c r="EE1238" s="4"/>
      <c r="EF1238" s="4"/>
      <c r="EG1238" s="4"/>
      <c r="EH1238" s="4"/>
      <c r="EI1238" s="4"/>
    </row>
    <row r="1239" spans="1:150" hidden="1">
      <c r="A1239" s="11" t="s">
        <v>9940</v>
      </c>
      <c r="B1239" s="3" t="s">
        <v>8373</v>
      </c>
      <c r="C1239" s="3">
        <v>1998</v>
      </c>
      <c r="D1239" s="3" t="s">
        <v>9333</v>
      </c>
      <c r="E1239" s="3" t="s">
        <v>9334</v>
      </c>
      <c r="F1239" s="3">
        <v>1</v>
      </c>
      <c r="G1239" s="3"/>
      <c r="H1239" s="3" t="s">
        <v>9339</v>
      </c>
      <c r="I1239" s="3"/>
      <c r="J1239" s="3"/>
      <c r="K1239" s="3" t="s">
        <v>9335</v>
      </c>
      <c r="L1239" s="4"/>
      <c r="M1239" s="3" t="s">
        <v>9336</v>
      </c>
      <c r="T1239" s="3" t="s">
        <v>9337</v>
      </c>
      <c r="V1239" s="3"/>
      <c r="W1239" s="3"/>
      <c r="X1239" s="5" t="s">
        <v>9338</v>
      </c>
      <c r="Y1239" s="5"/>
      <c r="Z1239" s="3">
        <v>0</v>
      </c>
      <c r="AA1239" s="3" t="s">
        <v>9249</v>
      </c>
      <c r="AB1239" s="4"/>
      <c r="AE1239" s="3"/>
      <c r="AF1239" s="4"/>
      <c r="AG1239" s="4"/>
      <c r="AH1239" s="4"/>
      <c r="AI1239" s="4"/>
      <c r="AJ1239" s="4"/>
      <c r="AK1239" s="3"/>
      <c r="AL1239" s="3"/>
      <c r="AM1239" s="3"/>
      <c r="AN1239" s="3"/>
      <c r="AO1239" s="4"/>
      <c r="AP1239" s="3"/>
      <c r="AQ1239" s="4"/>
      <c r="AR1239" s="3"/>
      <c r="AS1239" s="3"/>
      <c r="AT1239" s="4"/>
      <c r="AU1239" s="3"/>
      <c r="AV1239" s="4"/>
      <c r="AW1239" s="4"/>
      <c r="AX1239" s="4"/>
      <c r="AY1239" s="4"/>
      <c r="AZ1239" s="4"/>
      <c r="BA1239" s="4"/>
      <c r="BB1239" s="4"/>
      <c r="BC1239" s="4"/>
      <c r="BD1239" s="4"/>
      <c r="BE1239" s="4"/>
      <c r="BF1239" s="3"/>
      <c r="BG1239" s="3"/>
      <c r="BH1239" s="3"/>
      <c r="BI1239" s="4"/>
      <c r="BJ1239" s="3"/>
      <c r="BK1239" s="4"/>
      <c r="BL1239" s="3"/>
      <c r="BM1239" s="4"/>
      <c r="BN1239" s="4"/>
      <c r="BO1239" s="4"/>
      <c r="BP1239" s="4"/>
      <c r="BQ1239" s="4"/>
      <c r="BR1239" s="4"/>
      <c r="BS1239" s="4"/>
      <c r="BT1239" s="4"/>
      <c r="BU1239" s="4"/>
      <c r="BV1239" s="4"/>
      <c r="BW1239" s="4"/>
      <c r="BX1239" s="4"/>
      <c r="BY1239" s="4"/>
      <c r="BZ1239" s="4"/>
      <c r="CA1239" s="4"/>
      <c r="CB1239" s="4"/>
      <c r="CC1239" s="4"/>
      <c r="CD1239" s="4"/>
      <c r="CE1239" s="4"/>
      <c r="CF1239" s="4"/>
      <c r="CG1239" s="4"/>
      <c r="CH1239" s="4"/>
      <c r="CI1239" s="4"/>
      <c r="CJ1239" s="4"/>
      <c r="CK1239" s="4"/>
      <c r="CL1239" s="4"/>
      <c r="CM1239" s="4"/>
      <c r="CN1239" s="4"/>
      <c r="CO1239" s="4"/>
      <c r="CP1239" s="4"/>
      <c r="CQ1239" s="4"/>
      <c r="CR1239" s="4"/>
      <c r="CS1239" s="4"/>
      <c r="CT1239" s="4"/>
      <c r="CU1239" s="4"/>
      <c r="CV1239" s="4"/>
      <c r="CW1239" s="4"/>
      <c r="CX1239" s="4"/>
      <c r="CY1239" s="4"/>
      <c r="CZ1239" s="4"/>
      <c r="DA1239" s="3"/>
      <c r="DB1239" s="3"/>
      <c r="DC1239" s="4"/>
      <c r="DD1239" s="4"/>
      <c r="DE1239" s="4"/>
      <c r="DF1239" s="4"/>
      <c r="DG1239" s="4"/>
      <c r="DH1239" s="4"/>
      <c r="DI1239" s="4"/>
      <c r="DJ1239" s="4"/>
      <c r="DK1239" s="4"/>
      <c r="DL1239" s="4"/>
      <c r="DM1239" s="4"/>
      <c r="DN1239" s="4"/>
      <c r="DO1239" s="4"/>
      <c r="DP1239" s="4"/>
      <c r="DQ1239" s="4"/>
      <c r="DR1239" s="4"/>
      <c r="DS1239" s="4"/>
      <c r="DT1239" s="4"/>
      <c r="DU1239" s="4"/>
      <c r="DV1239" s="4"/>
      <c r="DW1239" s="4"/>
      <c r="DX1239" s="4"/>
      <c r="DY1239" s="4"/>
      <c r="DZ1239" s="4"/>
      <c r="EA1239" s="4"/>
      <c r="EB1239" s="4"/>
      <c r="EC1239" s="4"/>
      <c r="ED1239" s="4"/>
      <c r="EE1239" s="4"/>
      <c r="EF1239" s="4"/>
      <c r="EG1239" s="4"/>
      <c r="EH1239" s="4"/>
      <c r="EI1239" s="4"/>
      <c r="EJ1239" s="4"/>
      <c r="EK1239" s="4"/>
      <c r="EL1239" s="4"/>
      <c r="EM1239" s="4"/>
      <c r="EN1239" s="4"/>
    </row>
    <row r="1240" spans="1:150" hidden="1">
      <c r="A1240" s="11" t="s">
        <v>9940</v>
      </c>
      <c r="B1240" s="3" t="s">
        <v>8379</v>
      </c>
      <c r="C1240" s="3">
        <v>2016</v>
      </c>
      <c r="D1240" s="3" t="s">
        <v>7238</v>
      </c>
      <c r="E1240" s="3" t="s">
        <v>9340</v>
      </c>
      <c r="F1240" s="3">
        <v>1</v>
      </c>
      <c r="G1240" s="4"/>
      <c r="H1240" s="3" t="s">
        <v>7241</v>
      </c>
      <c r="I1240" s="3"/>
      <c r="J1240" s="3"/>
      <c r="K1240" s="4"/>
      <c r="L1240" s="4"/>
      <c r="M1240" s="4"/>
      <c r="T1240" s="4"/>
      <c r="V1240" s="3"/>
      <c r="W1240" s="3"/>
      <c r="X1240" s="5" t="s">
        <v>7242</v>
      </c>
      <c r="Y1240" s="5"/>
      <c r="Z1240" s="3">
        <v>0</v>
      </c>
      <c r="AA1240" s="3" t="s">
        <v>9178</v>
      </c>
      <c r="AB1240" s="4"/>
      <c r="AE1240" s="3"/>
      <c r="AF1240" s="4"/>
      <c r="AG1240" s="4"/>
      <c r="AH1240" s="4"/>
      <c r="AI1240" s="4"/>
      <c r="AJ1240" s="4"/>
      <c r="AK1240" s="3"/>
      <c r="AL1240" s="3"/>
      <c r="AM1240" s="3"/>
      <c r="AN1240" s="3"/>
      <c r="AO1240" s="4"/>
      <c r="AP1240" s="4"/>
      <c r="AQ1240" s="4"/>
      <c r="AR1240" s="4"/>
      <c r="AS1240" s="4"/>
      <c r="AT1240" s="4"/>
      <c r="AU1240" s="4"/>
      <c r="AV1240" s="4"/>
      <c r="AW1240" s="4"/>
      <c r="AX1240" s="4"/>
      <c r="AY1240" s="4"/>
      <c r="AZ1240" s="4"/>
      <c r="BA1240" s="3"/>
      <c r="BB1240" s="4"/>
      <c r="BC1240" s="3"/>
      <c r="BD1240" s="3"/>
      <c r="BE1240" s="3"/>
      <c r="BF1240" s="4"/>
      <c r="BG1240" s="3"/>
      <c r="BH1240" s="3"/>
      <c r="BI1240" s="4"/>
      <c r="BJ1240" s="4"/>
      <c r="BK1240" s="4"/>
      <c r="BL1240" s="4"/>
      <c r="BM1240" s="4"/>
      <c r="BN1240" s="4"/>
      <c r="BO1240" s="4"/>
      <c r="BP1240" s="4"/>
      <c r="BQ1240" s="4"/>
      <c r="BR1240" s="4"/>
      <c r="BS1240" s="4"/>
      <c r="BT1240" s="4"/>
      <c r="BU1240" s="4"/>
      <c r="BV1240" s="4"/>
      <c r="BW1240" s="4"/>
      <c r="BX1240" s="4"/>
      <c r="BY1240" s="4"/>
      <c r="BZ1240" s="4"/>
      <c r="CA1240" s="4"/>
      <c r="CB1240" s="4"/>
      <c r="CC1240" s="4"/>
      <c r="CD1240" s="4"/>
      <c r="CE1240" s="4"/>
      <c r="CF1240" s="4"/>
      <c r="CG1240" s="4"/>
      <c r="CH1240" s="4"/>
      <c r="CI1240" s="4"/>
      <c r="CJ1240" s="4"/>
      <c r="CK1240" s="4"/>
      <c r="CL1240" s="4"/>
      <c r="CM1240" s="4"/>
      <c r="CN1240" s="4"/>
      <c r="CO1240" s="4"/>
      <c r="CP1240" s="4"/>
      <c r="CQ1240" s="4"/>
      <c r="CR1240" s="4"/>
      <c r="CS1240" s="4"/>
      <c r="CT1240" s="4"/>
      <c r="CU1240" s="4"/>
      <c r="CV1240" s="4"/>
      <c r="CW1240" s="4"/>
      <c r="CX1240" s="4"/>
      <c r="CY1240" s="4"/>
      <c r="CZ1240" s="4"/>
      <c r="DA1240" s="3"/>
      <c r="DB1240" s="3"/>
      <c r="DC1240" s="4"/>
      <c r="DD1240" s="4"/>
      <c r="DE1240" s="4"/>
      <c r="DF1240" s="4"/>
      <c r="DG1240" s="4"/>
      <c r="DH1240" s="4"/>
      <c r="DI1240" s="4"/>
      <c r="DJ1240" s="4"/>
      <c r="DK1240" s="4"/>
      <c r="DL1240" s="4"/>
      <c r="DM1240" s="4"/>
      <c r="DN1240" s="4"/>
      <c r="DO1240" s="4"/>
      <c r="DP1240" s="4"/>
      <c r="DQ1240" s="4"/>
      <c r="DR1240" s="4"/>
      <c r="DS1240" s="4"/>
      <c r="DT1240" s="4"/>
      <c r="DU1240" s="4"/>
      <c r="DV1240" s="4"/>
      <c r="DW1240" s="4"/>
      <c r="DX1240" s="4"/>
      <c r="DY1240" s="4"/>
      <c r="DZ1240" s="4"/>
      <c r="EA1240" s="4"/>
      <c r="EB1240" s="4"/>
      <c r="EC1240" s="4"/>
      <c r="ED1240" s="4"/>
      <c r="EE1240" s="4"/>
      <c r="EF1240" s="4"/>
      <c r="EG1240" s="4"/>
      <c r="EH1240" s="4"/>
      <c r="EI1240" s="4"/>
      <c r="EJ1240" s="4"/>
      <c r="EK1240" s="4"/>
      <c r="EL1240" s="4"/>
      <c r="EM1240" s="4"/>
      <c r="EN1240" s="4"/>
    </row>
    <row r="1241" spans="1:150" hidden="1">
      <c r="A1241" s="11" t="s">
        <v>9940</v>
      </c>
      <c r="B1241" s="3" t="s">
        <v>8373</v>
      </c>
      <c r="C1241" s="3">
        <v>2015</v>
      </c>
      <c r="D1241" s="3" t="s">
        <v>1362</v>
      </c>
      <c r="E1241" s="3" t="s">
        <v>9341</v>
      </c>
      <c r="F1241" s="3">
        <v>1</v>
      </c>
      <c r="G1241" s="3"/>
      <c r="H1241" s="3" t="s">
        <v>1367</v>
      </c>
      <c r="I1241" s="3"/>
      <c r="J1241" s="3"/>
      <c r="K1241" s="3" t="s">
        <v>1363</v>
      </c>
      <c r="L1241" s="4"/>
      <c r="M1241" s="3" t="s">
        <v>9342</v>
      </c>
      <c r="T1241" s="3" t="s">
        <v>1365</v>
      </c>
      <c r="V1241" s="3"/>
      <c r="W1241" s="3"/>
      <c r="X1241" s="5" t="s">
        <v>1368</v>
      </c>
      <c r="Y1241" s="5"/>
      <c r="Z1241" s="3">
        <v>0</v>
      </c>
      <c r="AA1241" s="3" t="s">
        <v>9237</v>
      </c>
      <c r="AB1241" s="4"/>
      <c r="AE1241" s="3"/>
      <c r="AF1241" s="4"/>
      <c r="AG1241" s="4"/>
      <c r="AH1241" s="4"/>
      <c r="AI1241" s="4"/>
      <c r="AJ1241" s="4"/>
      <c r="AK1241" s="3"/>
      <c r="AL1241" s="3"/>
      <c r="AM1241" s="3"/>
      <c r="AN1241" s="3"/>
      <c r="AO1241" s="4"/>
      <c r="AP1241" s="3"/>
      <c r="AQ1241" s="4"/>
      <c r="AR1241" s="3"/>
      <c r="AS1241" s="3"/>
      <c r="AT1241" s="4"/>
      <c r="AU1241" s="3"/>
      <c r="AV1241" s="4"/>
      <c r="AW1241" s="4"/>
      <c r="AX1241" s="4"/>
      <c r="AY1241" s="4"/>
      <c r="AZ1241" s="4"/>
      <c r="BA1241" s="4"/>
      <c r="BB1241" s="4"/>
      <c r="BC1241" s="4"/>
      <c r="BD1241" s="4"/>
      <c r="BE1241" s="4"/>
      <c r="BF1241" s="3"/>
      <c r="BG1241" s="3"/>
      <c r="BH1241" s="3"/>
      <c r="BI1241" s="4"/>
      <c r="BJ1241" s="3"/>
      <c r="BK1241" s="4"/>
      <c r="BL1241" s="4"/>
      <c r="BM1241" s="4"/>
      <c r="BN1241" s="3"/>
      <c r="BO1241" s="4"/>
      <c r="BP1241" s="4"/>
      <c r="BQ1241" s="4"/>
      <c r="BR1241" s="4"/>
      <c r="BS1241" s="4"/>
      <c r="BT1241" s="4"/>
      <c r="BU1241" s="4"/>
      <c r="BV1241" s="4"/>
      <c r="BW1241" s="4"/>
      <c r="BX1241" s="4"/>
      <c r="BY1241" s="4"/>
      <c r="BZ1241" s="4"/>
      <c r="CA1241" s="4"/>
      <c r="CB1241" s="4"/>
      <c r="CC1241" s="4"/>
      <c r="CD1241" s="4"/>
      <c r="CE1241" s="4"/>
      <c r="CF1241" s="4"/>
      <c r="CG1241" s="4"/>
      <c r="CH1241" s="4"/>
      <c r="CI1241" s="4"/>
      <c r="CJ1241" s="4"/>
      <c r="CK1241" s="4"/>
      <c r="CL1241" s="4"/>
      <c r="CM1241" s="4"/>
      <c r="CN1241" s="4"/>
      <c r="CO1241" s="4"/>
      <c r="CP1241" s="4"/>
      <c r="CQ1241" s="4"/>
      <c r="CR1241" s="4"/>
      <c r="CS1241" s="4"/>
      <c r="CT1241" s="4"/>
      <c r="CU1241" s="4"/>
      <c r="CV1241" s="4"/>
      <c r="CW1241" s="4"/>
      <c r="CX1241" s="4"/>
      <c r="CY1241" s="4"/>
      <c r="CZ1241" s="4"/>
      <c r="DA1241" s="4"/>
      <c r="DB1241" s="4"/>
      <c r="DC1241" s="4"/>
      <c r="DD1241" s="3"/>
      <c r="DE1241" s="3"/>
      <c r="DF1241" s="4"/>
      <c r="DG1241" s="4"/>
      <c r="DH1241" s="4"/>
      <c r="DI1241" s="4"/>
      <c r="DJ1241" s="4"/>
      <c r="DK1241" s="4"/>
      <c r="DL1241" s="4"/>
      <c r="DM1241" s="4"/>
      <c r="DN1241" s="4"/>
      <c r="DO1241" s="4"/>
      <c r="DP1241" s="4"/>
      <c r="DQ1241" s="4"/>
      <c r="DR1241" s="4"/>
      <c r="DS1241" s="4"/>
      <c r="DT1241" s="4"/>
      <c r="DU1241" s="4"/>
      <c r="DV1241" s="4"/>
      <c r="DW1241" s="4"/>
      <c r="DX1241" s="4"/>
      <c r="DY1241" s="4"/>
      <c r="DZ1241" s="4"/>
      <c r="EA1241" s="4"/>
      <c r="EB1241" s="4"/>
      <c r="EC1241" s="4"/>
      <c r="ED1241" s="4"/>
      <c r="EE1241" s="4"/>
      <c r="EF1241" s="4"/>
      <c r="EG1241" s="4"/>
      <c r="EH1241" s="4"/>
      <c r="EI1241" s="4"/>
      <c r="EJ1241" s="4"/>
      <c r="EK1241" s="4"/>
      <c r="EL1241" s="4"/>
      <c r="EM1241" s="4"/>
      <c r="EN1241" s="4"/>
      <c r="EO1241" s="4"/>
      <c r="EP1241" s="4"/>
      <c r="EQ1241" s="4"/>
    </row>
    <row r="1242" spans="1:150" hidden="1">
      <c r="A1242" s="11" t="s">
        <v>9940</v>
      </c>
      <c r="B1242" s="3" t="s">
        <v>8373</v>
      </c>
      <c r="C1242" s="3">
        <v>2016</v>
      </c>
      <c r="D1242" s="3" t="s">
        <v>3882</v>
      </c>
      <c r="E1242" s="3" t="s">
        <v>9343</v>
      </c>
      <c r="F1242" s="3">
        <v>0</v>
      </c>
      <c r="G1242" s="3" t="s">
        <v>9237</v>
      </c>
      <c r="H1242" s="3" t="s">
        <v>3887</v>
      </c>
      <c r="I1242" s="3"/>
      <c r="J1242" s="3"/>
      <c r="K1242" s="3" t="s">
        <v>3883</v>
      </c>
      <c r="L1242" s="4"/>
      <c r="M1242" s="12">
        <v>22678</v>
      </c>
      <c r="T1242" s="3" t="s">
        <v>3885</v>
      </c>
      <c r="V1242" s="4"/>
      <c r="W1242" s="4"/>
      <c r="X1242" s="5" t="s">
        <v>3888</v>
      </c>
      <c r="Y1242" s="5"/>
      <c r="Z1242" s="4"/>
      <c r="AA1242" s="4"/>
      <c r="AB1242" s="4"/>
      <c r="AE1242" s="4"/>
      <c r="AF1242" s="4"/>
      <c r="AG1242" s="3"/>
      <c r="AH1242" s="3"/>
      <c r="AI1242" s="3"/>
      <c r="AJ1242" s="3"/>
      <c r="AK1242" s="4"/>
      <c r="AL1242" s="3"/>
      <c r="AM1242" s="4"/>
      <c r="AN1242" s="3"/>
      <c r="AO1242" s="3"/>
      <c r="AP1242" s="4"/>
      <c r="AQ1242" s="3"/>
      <c r="AR1242" s="4"/>
      <c r="AS1242" s="4"/>
      <c r="AT1242" s="4"/>
      <c r="AU1242" s="4"/>
      <c r="AV1242" s="4"/>
      <c r="AW1242" s="4"/>
      <c r="AX1242" s="4"/>
      <c r="AY1242" s="4"/>
      <c r="AZ1242" s="4"/>
      <c r="BA1242" s="4"/>
      <c r="BB1242" s="3"/>
      <c r="BC1242" s="3"/>
      <c r="BD1242" s="3"/>
      <c r="BE1242" s="4"/>
      <c r="BF1242" s="3"/>
      <c r="BG1242" s="4"/>
      <c r="BH1242" s="4"/>
      <c r="BI1242" s="3"/>
      <c r="BJ1242" s="4"/>
      <c r="BK1242" s="4"/>
      <c r="BL1242" s="4"/>
      <c r="BM1242" s="4"/>
      <c r="BN1242" s="4"/>
      <c r="BO1242" s="4"/>
      <c r="BP1242" s="4"/>
      <c r="BQ1242" s="4"/>
      <c r="BR1242" s="4"/>
      <c r="BS1242" s="4"/>
      <c r="BT1242" s="4"/>
      <c r="BU1242" s="4"/>
      <c r="BV1242" s="4"/>
      <c r="BW1242" s="4"/>
      <c r="BX1242" s="4"/>
      <c r="BY1242" s="4"/>
      <c r="BZ1242" s="4"/>
      <c r="CA1242" s="4"/>
      <c r="CB1242" s="4"/>
      <c r="CC1242" s="4"/>
      <c r="CD1242" s="4"/>
      <c r="CE1242" s="4"/>
      <c r="CF1242" s="4"/>
      <c r="CG1242" s="4"/>
      <c r="CH1242" s="4"/>
      <c r="CI1242" s="4"/>
      <c r="CJ1242" s="4"/>
      <c r="CK1242" s="4"/>
      <c r="CL1242" s="4"/>
      <c r="CM1242" s="4"/>
      <c r="CN1242" s="4"/>
      <c r="CO1242" s="4"/>
      <c r="CP1242" s="4"/>
      <c r="CQ1242" s="4"/>
      <c r="CR1242" s="4"/>
      <c r="CS1242" s="4"/>
      <c r="CT1242" s="4"/>
      <c r="CU1242" s="4"/>
      <c r="CV1242" s="4"/>
      <c r="CW1242" s="4"/>
      <c r="CX1242" s="4"/>
      <c r="CY1242" s="4"/>
      <c r="CZ1242" s="4"/>
      <c r="DA1242" s="4"/>
      <c r="DB1242" s="4"/>
      <c r="DC1242" s="3"/>
      <c r="DD1242" s="3"/>
      <c r="DE1242" s="4"/>
      <c r="DF1242" s="4"/>
      <c r="DG1242" s="4"/>
      <c r="DH1242" s="4"/>
      <c r="DI1242" s="4"/>
      <c r="DJ1242" s="4"/>
      <c r="DK1242" s="4"/>
      <c r="DL1242" s="4"/>
      <c r="DM1242" s="4"/>
      <c r="DN1242" s="4"/>
      <c r="DO1242" s="4"/>
      <c r="DP1242" s="4"/>
      <c r="DQ1242" s="4"/>
      <c r="DR1242" s="4"/>
      <c r="DS1242" s="4"/>
      <c r="DT1242" s="4"/>
      <c r="DU1242" s="4"/>
      <c r="DV1242" s="4"/>
      <c r="DW1242" s="4"/>
      <c r="DX1242" s="4"/>
      <c r="DY1242" s="4"/>
      <c r="DZ1242" s="4"/>
      <c r="EA1242" s="4"/>
      <c r="EB1242" s="4"/>
      <c r="EC1242" s="4"/>
      <c r="ED1242" s="4"/>
      <c r="EE1242" s="4"/>
      <c r="EF1242" s="4"/>
      <c r="EG1242" s="4"/>
      <c r="EH1242" s="4"/>
      <c r="EI1242" s="4"/>
      <c r="EJ1242" s="4"/>
      <c r="EK1242" s="4"/>
      <c r="EL1242" s="4"/>
      <c r="EM1242" s="4"/>
      <c r="EN1242" s="4"/>
      <c r="EO1242" s="4"/>
      <c r="EP1242" s="4"/>
    </row>
    <row r="1243" spans="1:150" hidden="1">
      <c r="A1243" s="11" t="s">
        <v>9940</v>
      </c>
      <c r="B1243" s="3" t="s">
        <v>8373</v>
      </c>
      <c r="C1243" s="3">
        <v>2012</v>
      </c>
      <c r="D1243" s="3" t="s">
        <v>2999</v>
      </c>
      <c r="E1243" s="3" t="s">
        <v>8587</v>
      </c>
      <c r="F1243" s="3">
        <v>1</v>
      </c>
      <c r="G1243" s="3"/>
      <c r="H1243" s="3" t="s">
        <v>3004</v>
      </c>
      <c r="I1243" s="3"/>
      <c r="J1243" s="3"/>
      <c r="K1243" s="3" t="s">
        <v>8588</v>
      </c>
      <c r="L1243" s="4"/>
      <c r="M1243" s="3" t="s">
        <v>8589</v>
      </c>
      <c r="T1243" s="4"/>
      <c r="V1243" s="3"/>
      <c r="W1243" s="4"/>
      <c r="X1243" s="5" t="s">
        <v>3005</v>
      </c>
      <c r="Y1243" s="5"/>
      <c r="Z1243" s="3">
        <v>1</v>
      </c>
      <c r="AA1243" s="4"/>
      <c r="AB1243" s="3"/>
      <c r="AE1243" s="3"/>
      <c r="AF1243" s="3"/>
      <c r="AG1243" s="4"/>
      <c r="AH1243" s="4"/>
      <c r="AI1243" s="3"/>
      <c r="AJ1243" s="3"/>
      <c r="AK1243" s="3"/>
      <c r="AL1243" s="3"/>
      <c r="AM1243" s="3"/>
      <c r="AN1243" s="3"/>
      <c r="AO1243" s="4"/>
      <c r="AP1243" s="3"/>
      <c r="AQ1243" s="4"/>
      <c r="AR1243" s="3"/>
      <c r="AS1243" s="3"/>
      <c r="AT1243" s="4"/>
      <c r="AU1243" s="3"/>
      <c r="AV1243" s="4"/>
      <c r="AW1243" s="4"/>
      <c r="AX1243" s="4"/>
      <c r="AY1243" s="4"/>
      <c r="AZ1243" s="4"/>
      <c r="BA1243" s="4"/>
      <c r="BB1243" s="4"/>
      <c r="BC1243" s="4"/>
      <c r="BD1243" s="4"/>
      <c r="BE1243" s="4"/>
      <c r="BF1243" s="3"/>
      <c r="BG1243" s="3"/>
      <c r="BH1243" s="3"/>
      <c r="BI1243" s="4"/>
      <c r="BJ1243" s="3"/>
      <c r="BK1243" s="4"/>
      <c r="BL1243" s="3"/>
      <c r="BM1243" s="4"/>
      <c r="BN1243" s="4"/>
      <c r="BO1243" s="4"/>
      <c r="BP1243" s="4"/>
      <c r="BQ1243" s="4"/>
      <c r="BR1243" s="4"/>
      <c r="BS1243" s="4"/>
      <c r="BT1243" s="4"/>
      <c r="BU1243" s="4"/>
      <c r="BV1243" s="4"/>
      <c r="BW1243" s="4"/>
      <c r="BX1243" s="4"/>
      <c r="BY1243" s="4"/>
      <c r="BZ1243" s="4"/>
      <c r="CA1243" s="4"/>
      <c r="CB1243" s="4"/>
      <c r="CC1243" s="4"/>
      <c r="CD1243" s="4"/>
      <c r="CE1243" s="4"/>
      <c r="CF1243" s="4"/>
      <c r="CG1243" s="4"/>
      <c r="CH1243" s="4"/>
      <c r="CI1243" s="4"/>
      <c r="CJ1243" s="4"/>
      <c r="CK1243" s="4"/>
      <c r="CL1243" s="4"/>
      <c r="CM1243" s="4"/>
      <c r="CN1243" s="4"/>
      <c r="CO1243" s="4"/>
      <c r="CP1243" s="4"/>
      <c r="CQ1243" s="4"/>
      <c r="CR1243" s="4"/>
      <c r="CS1243" s="4"/>
      <c r="CT1243" s="4"/>
      <c r="CU1243" s="4"/>
      <c r="CV1243" s="4"/>
      <c r="CW1243" s="4"/>
      <c r="CX1243" s="4"/>
      <c r="CY1243" s="4"/>
      <c r="CZ1243" s="4"/>
      <c r="DA1243" s="4"/>
      <c r="DB1243" s="4"/>
      <c r="DC1243" s="4"/>
      <c r="DD1243" s="4"/>
      <c r="DE1243" s="4"/>
      <c r="DF1243" s="4"/>
      <c r="DG1243" s="3"/>
      <c r="DH1243" s="3"/>
      <c r="DI1243" s="8"/>
      <c r="DJ1243" s="4"/>
      <c r="DK1243" s="4"/>
      <c r="DL1243" s="4"/>
      <c r="DM1243" s="4"/>
      <c r="DN1243" s="8"/>
      <c r="DO1243" s="8"/>
      <c r="DP1243" s="8"/>
      <c r="DQ1243" s="8"/>
      <c r="DR1243" s="4"/>
      <c r="DS1243" s="4"/>
      <c r="DT1243" s="4"/>
      <c r="DU1243" s="4"/>
      <c r="DV1243" s="4"/>
      <c r="DW1243" s="4"/>
      <c r="DX1243" s="4"/>
      <c r="DY1243" s="4"/>
      <c r="DZ1243" s="4"/>
      <c r="EA1243" s="4"/>
      <c r="EB1243" s="4"/>
      <c r="EC1243" s="4"/>
      <c r="ED1243" s="4"/>
      <c r="EE1243" s="4"/>
      <c r="EF1243" s="4"/>
      <c r="EG1243" s="4"/>
      <c r="EH1243" s="4"/>
      <c r="EI1243" s="4"/>
      <c r="EJ1243" s="4"/>
      <c r="EK1243" s="4"/>
      <c r="EL1243" s="8"/>
      <c r="EM1243" s="8"/>
      <c r="EN1243" s="8"/>
      <c r="EO1243" s="8"/>
      <c r="EP1243" s="8"/>
      <c r="EQ1243" s="8"/>
      <c r="ER1243" s="4"/>
      <c r="ES1243" s="4"/>
      <c r="ET1243" s="4"/>
    </row>
    <row r="1244" spans="1:150" hidden="1">
      <c r="A1244" s="11" t="s">
        <v>9940</v>
      </c>
      <c r="B1244" s="3" t="s">
        <v>8373</v>
      </c>
      <c r="C1244" s="3">
        <v>2011</v>
      </c>
      <c r="D1244" s="3" t="s">
        <v>5107</v>
      </c>
      <c r="E1244" s="3" t="s">
        <v>8590</v>
      </c>
      <c r="F1244" s="3">
        <v>1</v>
      </c>
      <c r="G1244" s="3"/>
      <c r="H1244" s="3" t="s">
        <v>8591</v>
      </c>
      <c r="I1244" s="3"/>
      <c r="J1244" s="3"/>
      <c r="K1244" s="3" t="s">
        <v>132</v>
      </c>
      <c r="L1244" s="4"/>
      <c r="M1244" s="3" t="s">
        <v>8382</v>
      </c>
      <c r="T1244" s="3" t="s">
        <v>5109</v>
      </c>
      <c r="V1244" s="3"/>
      <c r="W1244" s="3"/>
      <c r="X1244" s="5" t="s">
        <v>5112</v>
      </c>
      <c r="Y1244" s="5"/>
      <c r="Z1244" s="3">
        <v>1</v>
      </c>
      <c r="AA1244" s="4"/>
      <c r="AB1244" s="3"/>
      <c r="AE1244" s="3"/>
      <c r="AF1244" s="3"/>
      <c r="AG1244" s="4"/>
      <c r="AH1244" s="4"/>
      <c r="AI1244" s="4"/>
      <c r="AJ1244" s="4"/>
      <c r="AK1244" s="3"/>
      <c r="AL1244" s="3"/>
      <c r="AM1244" s="3"/>
      <c r="AN1244" s="3"/>
      <c r="AO1244" s="4"/>
      <c r="AP1244" s="3"/>
      <c r="AQ1244" s="4"/>
      <c r="AR1244" s="3"/>
      <c r="AS1244" s="3"/>
      <c r="AT1244" s="4"/>
      <c r="AU1244" s="3"/>
      <c r="AV1244" s="4"/>
      <c r="AW1244" s="4"/>
      <c r="AX1244" s="4"/>
      <c r="AY1244" s="4"/>
      <c r="AZ1244" s="4"/>
      <c r="BA1244" s="4"/>
      <c r="BB1244" s="4"/>
      <c r="BC1244" s="4"/>
      <c r="BD1244" s="4"/>
      <c r="BE1244" s="4"/>
      <c r="BF1244" s="3"/>
      <c r="BG1244" s="3"/>
      <c r="BH1244" s="3"/>
      <c r="BI1244" s="4"/>
      <c r="BJ1244" s="3"/>
      <c r="BK1244" s="4"/>
      <c r="BL1244" s="4"/>
      <c r="BM1244" s="3"/>
      <c r="BN1244" s="4"/>
      <c r="BO1244" s="4"/>
      <c r="BP1244" s="4"/>
      <c r="BQ1244" s="4"/>
      <c r="BR1244" s="4"/>
      <c r="BS1244" s="4"/>
      <c r="BT1244" s="4"/>
      <c r="BU1244" s="4"/>
      <c r="BV1244" s="4"/>
      <c r="BW1244" s="4"/>
      <c r="BX1244" s="4"/>
      <c r="BY1244" s="4"/>
      <c r="BZ1244" s="4"/>
      <c r="CA1244" s="4"/>
      <c r="CB1244" s="4"/>
      <c r="CC1244" s="4"/>
      <c r="CD1244" s="4"/>
      <c r="CE1244" s="4"/>
      <c r="CF1244" s="4"/>
      <c r="CG1244" s="4"/>
      <c r="CH1244" s="4"/>
      <c r="CI1244" s="4"/>
      <c r="CJ1244" s="4"/>
      <c r="CK1244" s="4"/>
      <c r="CL1244" s="4"/>
      <c r="CM1244" s="4"/>
      <c r="CN1244" s="4"/>
      <c r="CO1244" s="4"/>
      <c r="CP1244" s="4"/>
      <c r="CQ1244" s="4"/>
      <c r="CR1244" s="4"/>
      <c r="CS1244" s="4"/>
      <c r="CT1244" s="4"/>
      <c r="CU1244" s="4"/>
      <c r="CV1244" s="4"/>
      <c r="CW1244" s="4"/>
      <c r="CX1244" s="4"/>
      <c r="CY1244" s="4"/>
      <c r="CZ1244" s="4"/>
      <c r="DA1244" s="4"/>
      <c r="DB1244" s="3"/>
      <c r="DC1244" s="3"/>
      <c r="DD1244" s="8"/>
      <c r="DE1244" s="4"/>
      <c r="DF1244" s="4"/>
      <c r="DG1244" s="4"/>
      <c r="DH1244" s="4"/>
      <c r="DI1244" s="8"/>
      <c r="DJ1244" s="8"/>
      <c r="DK1244" s="8"/>
      <c r="DL1244" s="8"/>
      <c r="DM1244" s="4"/>
      <c r="DN1244" s="4"/>
      <c r="DO1244" s="4"/>
      <c r="DP1244" s="4"/>
      <c r="DQ1244" s="4"/>
      <c r="DR1244" s="4"/>
      <c r="DS1244" s="4"/>
      <c r="DT1244" s="4"/>
      <c r="DU1244" s="4"/>
      <c r="DV1244" s="4"/>
      <c r="DW1244" s="4"/>
      <c r="DX1244" s="4"/>
      <c r="DY1244" s="4"/>
      <c r="DZ1244" s="4"/>
      <c r="EA1244" s="4"/>
      <c r="EB1244" s="4"/>
      <c r="EC1244" s="4"/>
      <c r="ED1244" s="4"/>
      <c r="EE1244" s="4"/>
      <c r="EF1244" s="4"/>
      <c r="EG1244" s="8"/>
      <c r="EH1244" s="8"/>
      <c r="EI1244" s="8"/>
      <c r="EJ1244" s="8"/>
      <c r="EK1244" s="8"/>
      <c r="EL1244" s="8"/>
      <c r="EM1244" s="4"/>
      <c r="EN1244" s="4"/>
      <c r="EO1244" s="4"/>
    </row>
    <row r="1245" spans="1:150" hidden="1">
      <c r="A1245" s="11" t="s">
        <v>9940</v>
      </c>
      <c r="B1245" s="3" t="s">
        <v>8373</v>
      </c>
      <c r="C1245" s="3">
        <v>2014</v>
      </c>
      <c r="D1245" s="3" t="s">
        <v>7993</v>
      </c>
      <c r="E1245" s="3" t="s">
        <v>8592</v>
      </c>
      <c r="F1245" s="3">
        <v>1</v>
      </c>
      <c r="G1245" s="3"/>
      <c r="H1245" s="3" t="s">
        <v>8593</v>
      </c>
      <c r="I1245" s="3"/>
      <c r="J1245" s="3"/>
      <c r="K1245" s="3" t="s">
        <v>132</v>
      </c>
      <c r="L1245" s="4"/>
      <c r="M1245" s="3" t="s">
        <v>8382</v>
      </c>
      <c r="T1245" s="3" t="s">
        <v>7995</v>
      </c>
      <c r="V1245" s="3"/>
      <c r="W1245" s="4"/>
      <c r="X1245" s="5" t="s">
        <v>7998</v>
      </c>
      <c r="Y1245" s="5"/>
      <c r="Z1245" s="3">
        <v>1</v>
      </c>
      <c r="AA1245" s="4"/>
      <c r="AB1245" s="4"/>
      <c r="AE1245" s="3"/>
      <c r="AF1245" s="3"/>
      <c r="AG1245" s="4"/>
      <c r="AH1245" s="4"/>
      <c r="AI1245" s="4"/>
      <c r="AJ1245" s="4"/>
      <c r="AK1245" s="3"/>
      <c r="AL1245" s="3"/>
      <c r="AM1245" s="3"/>
      <c r="AN1245" s="3"/>
      <c r="AO1245" s="4"/>
      <c r="AP1245" s="3"/>
      <c r="AQ1245" s="4"/>
      <c r="AR1245" s="4"/>
      <c r="AS1245" s="3"/>
      <c r="AT1245" s="4"/>
      <c r="AU1245" s="3"/>
      <c r="AV1245" s="4"/>
      <c r="AW1245" s="4"/>
      <c r="AX1245" s="4"/>
      <c r="AY1245" s="4"/>
      <c r="AZ1245" s="4"/>
      <c r="BA1245" s="4"/>
      <c r="BB1245" s="4"/>
      <c r="BC1245" s="4"/>
      <c r="BD1245" s="4"/>
      <c r="BE1245" s="4"/>
      <c r="BF1245" s="3"/>
      <c r="BG1245" s="3"/>
      <c r="BH1245" s="3"/>
      <c r="BI1245" s="4"/>
      <c r="BJ1245" s="3"/>
      <c r="BK1245" s="4"/>
      <c r="BL1245" s="4"/>
      <c r="BM1245" s="3"/>
      <c r="BN1245" s="4"/>
      <c r="BO1245" s="4"/>
      <c r="BP1245" s="4"/>
      <c r="BQ1245" s="4"/>
      <c r="BR1245" s="4"/>
      <c r="BS1245" s="4"/>
      <c r="BT1245" s="4"/>
      <c r="BU1245" s="4"/>
      <c r="BV1245" s="4"/>
      <c r="BW1245" s="4"/>
      <c r="BX1245" s="4"/>
      <c r="BY1245" s="4"/>
      <c r="BZ1245" s="4"/>
      <c r="CA1245" s="4"/>
      <c r="CB1245" s="4"/>
      <c r="CC1245" s="4"/>
      <c r="CD1245" s="4"/>
      <c r="CE1245" s="4"/>
      <c r="CF1245" s="4"/>
      <c r="CG1245" s="4"/>
      <c r="CH1245" s="4"/>
      <c r="CI1245" s="4"/>
      <c r="CJ1245" s="4"/>
      <c r="CK1245" s="4"/>
      <c r="CL1245" s="4"/>
      <c r="CM1245" s="4"/>
      <c r="CN1245" s="4"/>
      <c r="CO1245" s="4"/>
      <c r="CP1245" s="4"/>
      <c r="CQ1245" s="4"/>
      <c r="CR1245" s="4"/>
      <c r="CS1245" s="4"/>
      <c r="CT1245" s="4"/>
      <c r="CU1245" s="4"/>
      <c r="CV1245" s="4"/>
      <c r="CW1245" s="4"/>
      <c r="CX1245" s="4"/>
      <c r="CY1245" s="4"/>
      <c r="CZ1245" s="3"/>
      <c r="DA1245" s="3"/>
      <c r="DB1245" s="8"/>
      <c r="DC1245" s="4"/>
      <c r="DD1245" s="4"/>
      <c r="DE1245" s="4"/>
      <c r="DF1245" s="4"/>
      <c r="DG1245" s="8"/>
      <c r="DH1245" s="8"/>
      <c r="DI1245" s="8"/>
      <c r="DJ1245" s="8"/>
      <c r="DK1245" s="4"/>
      <c r="DL1245" s="4"/>
      <c r="DM1245" s="4"/>
      <c r="DN1245" s="4"/>
      <c r="DO1245" s="4"/>
      <c r="DP1245" s="4"/>
      <c r="DQ1245" s="4"/>
      <c r="DR1245" s="4"/>
      <c r="DS1245" s="4"/>
      <c r="DT1245" s="4"/>
      <c r="DU1245" s="4"/>
      <c r="DV1245" s="4"/>
      <c r="DW1245" s="4"/>
      <c r="DX1245" s="4"/>
      <c r="DY1245" s="4"/>
      <c r="DZ1245" s="4"/>
      <c r="EA1245" s="4"/>
      <c r="EB1245" s="4"/>
      <c r="EC1245" s="4"/>
      <c r="ED1245" s="4"/>
      <c r="EE1245" s="8"/>
      <c r="EF1245" s="4"/>
      <c r="EG1245" s="4"/>
      <c r="EH1245" s="4"/>
      <c r="EI1245" s="4"/>
      <c r="EJ1245" s="4"/>
      <c r="EK1245" s="4"/>
      <c r="EL1245" s="5"/>
      <c r="EM1245" s="4"/>
    </row>
    <row r="1246" spans="1:150" hidden="1">
      <c r="A1246" s="11" t="s">
        <v>9940</v>
      </c>
      <c r="B1246" s="3" t="s">
        <v>8373</v>
      </c>
      <c r="C1246" s="3">
        <v>2019</v>
      </c>
      <c r="D1246" s="3" t="s">
        <v>2953</v>
      </c>
      <c r="E1246" s="3" t="s">
        <v>9344</v>
      </c>
      <c r="F1246" s="3">
        <v>0</v>
      </c>
      <c r="G1246" s="3" t="s">
        <v>9265</v>
      </c>
      <c r="H1246" s="3" t="s">
        <v>9346</v>
      </c>
      <c r="I1246" s="3"/>
      <c r="J1246" s="3"/>
      <c r="K1246" s="3" t="s">
        <v>2954</v>
      </c>
      <c r="L1246" s="4"/>
      <c r="M1246" s="3" t="s">
        <v>9345</v>
      </c>
      <c r="T1246" s="3" t="s">
        <v>2956</v>
      </c>
      <c r="V1246" s="4"/>
      <c r="W1246" s="4"/>
      <c r="X1246" s="5" t="s">
        <v>2959</v>
      </c>
      <c r="Y1246" s="5"/>
      <c r="Z1246" s="4"/>
      <c r="AA1246" s="4"/>
      <c r="AB1246" s="4"/>
      <c r="AE1246" s="4"/>
      <c r="AF1246" s="4"/>
      <c r="AG1246" s="3"/>
      <c r="AH1246" s="3"/>
      <c r="AI1246" s="3"/>
      <c r="AJ1246" s="3"/>
      <c r="AK1246" s="4"/>
      <c r="AL1246" s="3"/>
      <c r="AM1246" s="4"/>
      <c r="AN1246" s="3"/>
      <c r="AO1246" s="3"/>
      <c r="AP1246" s="4"/>
      <c r="AQ1246" s="3"/>
      <c r="AR1246" s="4"/>
      <c r="AS1246" s="4"/>
      <c r="AT1246" s="4"/>
      <c r="AU1246" s="4"/>
      <c r="AV1246" s="4"/>
      <c r="AW1246" s="4"/>
      <c r="AX1246" s="4"/>
      <c r="AY1246" s="4"/>
      <c r="AZ1246" s="4"/>
      <c r="BA1246" s="4"/>
      <c r="BB1246" s="3"/>
      <c r="BC1246" s="3"/>
      <c r="BD1246" s="3"/>
      <c r="BE1246" s="4"/>
      <c r="BF1246" s="3"/>
      <c r="BG1246" s="4"/>
      <c r="BH1246" s="4"/>
      <c r="BI1246" s="3"/>
      <c r="BJ1246" s="4"/>
      <c r="BK1246" s="4"/>
      <c r="BL1246" s="4"/>
      <c r="BM1246" s="4"/>
      <c r="BN1246" s="4"/>
      <c r="BO1246" s="4"/>
      <c r="BP1246" s="4"/>
      <c r="BQ1246" s="4"/>
      <c r="BR1246" s="4"/>
      <c r="BS1246" s="4"/>
      <c r="BT1246" s="4"/>
      <c r="BU1246" s="4"/>
      <c r="BV1246" s="4"/>
      <c r="BW1246" s="4"/>
      <c r="BX1246" s="4"/>
      <c r="BY1246" s="4"/>
      <c r="BZ1246" s="4"/>
      <c r="CA1246" s="4"/>
      <c r="CB1246" s="4"/>
      <c r="CC1246" s="4"/>
      <c r="CD1246" s="4"/>
      <c r="CE1246" s="4"/>
      <c r="CF1246" s="4"/>
      <c r="CG1246" s="4"/>
      <c r="CH1246" s="4"/>
      <c r="CI1246" s="4"/>
      <c r="CJ1246" s="4"/>
      <c r="CK1246" s="4"/>
      <c r="CL1246" s="4"/>
      <c r="CM1246" s="4"/>
      <c r="CN1246" s="4"/>
      <c r="CO1246" s="4"/>
      <c r="CP1246" s="4"/>
      <c r="CQ1246" s="4"/>
      <c r="CR1246" s="4"/>
      <c r="CS1246" s="3"/>
      <c r="CT1246" s="3"/>
      <c r="CU1246" s="4"/>
      <c r="CV1246" s="4"/>
      <c r="CW1246" s="4"/>
      <c r="CX1246" s="4"/>
      <c r="CY1246" s="4"/>
      <c r="CZ1246" s="4"/>
      <c r="DA1246" s="4"/>
      <c r="DB1246" s="4"/>
      <c r="DC1246" s="4"/>
      <c r="DD1246" s="4"/>
      <c r="DE1246" s="4"/>
      <c r="DF1246" s="4"/>
      <c r="DG1246" s="4"/>
      <c r="DH1246" s="4"/>
      <c r="DI1246" s="4"/>
      <c r="DJ1246" s="4"/>
      <c r="DK1246" s="4"/>
      <c r="DL1246" s="4"/>
      <c r="DM1246" s="4"/>
      <c r="DN1246" s="4"/>
      <c r="DO1246" s="4"/>
      <c r="DP1246" s="4"/>
      <c r="DQ1246" s="4"/>
      <c r="DR1246" s="4"/>
      <c r="DS1246" s="4"/>
      <c r="DT1246" s="4"/>
      <c r="DU1246" s="4"/>
      <c r="DV1246" s="4"/>
      <c r="DW1246" s="4"/>
      <c r="DX1246" s="4"/>
      <c r="DY1246" s="4"/>
      <c r="DZ1246" s="4"/>
      <c r="EA1246" s="4"/>
      <c r="EB1246" s="4"/>
      <c r="EC1246" s="4"/>
      <c r="ED1246" s="4"/>
      <c r="EE1246" s="4"/>
      <c r="EF1246" s="4"/>
    </row>
    <row r="1247" spans="1:150" hidden="1">
      <c r="A1247" s="11" t="s">
        <v>9940</v>
      </c>
      <c r="B1247" s="3" t="s">
        <v>8373</v>
      </c>
      <c r="C1247" s="3">
        <v>2014</v>
      </c>
      <c r="D1247" s="3" t="s">
        <v>8594</v>
      </c>
      <c r="E1247" s="3" t="s">
        <v>8595</v>
      </c>
      <c r="F1247" s="3">
        <v>1</v>
      </c>
      <c r="G1247" s="3"/>
      <c r="H1247" s="3" t="s">
        <v>8599</v>
      </c>
      <c r="I1247" s="3"/>
      <c r="J1247" s="3"/>
      <c r="K1247" s="3" t="s">
        <v>1803</v>
      </c>
      <c r="L1247" s="4"/>
      <c r="M1247" s="3" t="s">
        <v>8596</v>
      </c>
      <c r="T1247" s="3" t="s">
        <v>8597</v>
      </c>
      <c r="V1247" s="3"/>
      <c r="W1247" s="4"/>
      <c r="X1247" s="5" t="s">
        <v>8598</v>
      </c>
      <c r="Y1247" s="5"/>
      <c r="Z1247" s="3">
        <v>1</v>
      </c>
      <c r="AA1247" s="4"/>
      <c r="AB1247" s="4"/>
      <c r="AE1247" s="3"/>
      <c r="AF1247" s="3"/>
      <c r="AG1247" s="4"/>
      <c r="AH1247" s="4"/>
      <c r="AI1247" s="4"/>
      <c r="AJ1247" s="4"/>
      <c r="AK1247" s="3"/>
      <c r="AL1247" s="3"/>
      <c r="AM1247" s="3"/>
      <c r="AN1247" s="3"/>
      <c r="AO1247" s="4"/>
      <c r="AP1247" s="3"/>
      <c r="AQ1247" s="4"/>
      <c r="AR1247" s="3"/>
      <c r="AS1247" s="3"/>
      <c r="AT1247" s="4"/>
      <c r="AU1247" s="3"/>
      <c r="AV1247" s="4"/>
      <c r="AW1247" s="3"/>
      <c r="AX1247" s="4"/>
      <c r="AY1247" s="4"/>
      <c r="AZ1247" s="4"/>
      <c r="BA1247" s="4"/>
      <c r="BB1247" s="4"/>
      <c r="BC1247" s="4"/>
      <c r="BD1247" s="4"/>
      <c r="BE1247" s="3"/>
      <c r="BF1247" s="3"/>
      <c r="BG1247" s="3"/>
      <c r="BH1247" s="4"/>
      <c r="BI1247" s="3"/>
      <c r="BJ1247" s="4"/>
      <c r="BK1247" s="4"/>
      <c r="BL1247" s="3"/>
      <c r="BM1247" s="4"/>
      <c r="BN1247" s="4"/>
      <c r="BO1247" s="4"/>
      <c r="BP1247" s="4"/>
      <c r="BQ1247" s="4"/>
      <c r="BR1247" s="4"/>
      <c r="BS1247" s="4"/>
      <c r="BT1247" s="4"/>
      <c r="BU1247" s="4"/>
      <c r="BV1247" s="4"/>
      <c r="BW1247" s="4"/>
      <c r="BX1247" s="4"/>
      <c r="BY1247" s="4"/>
      <c r="BZ1247" s="4"/>
      <c r="CA1247" s="4"/>
      <c r="CB1247" s="4"/>
      <c r="CC1247" s="4"/>
      <c r="CD1247" s="4"/>
      <c r="CE1247" s="4"/>
      <c r="CF1247" s="4"/>
      <c r="CG1247" s="4"/>
      <c r="CH1247" s="4"/>
      <c r="CI1247" s="4"/>
      <c r="CJ1247" s="4"/>
      <c r="CK1247" s="4"/>
      <c r="CL1247" s="4"/>
      <c r="CM1247" s="4"/>
      <c r="CN1247" s="4"/>
      <c r="CO1247" s="4"/>
      <c r="CP1247" s="3"/>
      <c r="CQ1247" s="3"/>
      <c r="CR1247" s="8"/>
      <c r="CS1247" s="4"/>
      <c r="CT1247" s="4"/>
      <c r="CU1247" s="4"/>
      <c r="CV1247" s="4"/>
      <c r="CW1247" s="8"/>
      <c r="CX1247" s="8"/>
      <c r="CY1247" s="8"/>
      <c r="CZ1247" s="8"/>
      <c r="DA1247" s="4"/>
      <c r="DB1247" s="4"/>
      <c r="DC1247" s="4"/>
      <c r="DD1247" s="4"/>
      <c r="DE1247" s="4"/>
      <c r="DF1247" s="4"/>
      <c r="DG1247" s="4"/>
      <c r="DH1247" s="4"/>
      <c r="DI1247" s="4"/>
      <c r="DJ1247" s="4"/>
      <c r="DK1247" s="4"/>
      <c r="DL1247" s="4"/>
      <c r="DM1247" s="4"/>
      <c r="DN1247" s="4"/>
      <c r="DO1247" s="4"/>
      <c r="DP1247" s="4"/>
      <c r="DQ1247" s="4"/>
      <c r="DR1247" s="4"/>
      <c r="DS1247" s="4"/>
      <c r="DT1247" s="4"/>
      <c r="DU1247" s="8"/>
      <c r="DV1247" s="8"/>
      <c r="DW1247" s="8"/>
      <c r="DX1247" s="8"/>
      <c r="DY1247" s="8"/>
      <c r="DZ1247" s="8"/>
      <c r="EA1247" s="4"/>
      <c r="EB1247" s="4"/>
      <c r="EC1247" s="4"/>
    </row>
    <row r="1248" spans="1:150" hidden="1">
      <c r="A1248" s="11" t="s">
        <v>9940</v>
      </c>
      <c r="B1248" s="3" t="s">
        <v>8373</v>
      </c>
      <c r="C1248" s="3">
        <v>2015</v>
      </c>
      <c r="D1248" s="3" t="s">
        <v>9347</v>
      </c>
      <c r="E1248" s="3" t="s">
        <v>9348</v>
      </c>
      <c r="F1248" s="3">
        <v>1</v>
      </c>
      <c r="G1248" s="3"/>
      <c r="H1248" s="3" t="s">
        <v>1929</v>
      </c>
      <c r="I1248" s="3"/>
      <c r="J1248" s="3"/>
      <c r="K1248" s="3" t="s">
        <v>1180</v>
      </c>
      <c r="L1248" s="4"/>
      <c r="M1248" s="3" t="s">
        <v>8753</v>
      </c>
      <c r="T1248" s="3" t="s">
        <v>1927</v>
      </c>
      <c r="V1248" s="3"/>
      <c r="W1248" s="3"/>
      <c r="X1248" s="5" t="s">
        <v>1930</v>
      </c>
      <c r="Y1248" s="5"/>
      <c r="Z1248" s="3">
        <v>0</v>
      </c>
      <c r="AA1248" s="3" t="s">
        <v>9265</v>
      </c>
      <c r="AB1248" s="4"/>
      <c r="AE1248" s="3"/>
      <c r="AF1248" s="4"/>
      <c r="AG1248" s="4"/>
      <c r="AH1248" s="4"/>
      <c r="AI1248" s="4"/>
      <c r="AJ1248" s="4"/>
      <c r="AK1248" s="3"/>
      <c r="AL1248" s="3"/>
      <c r="AM1248" s="3"/>
      <c r="AN1248" s="3"/>
      <c r="AO1248" s="4"/>
      <c r="AP1248" s="3"/>
      <c r="AQ1248" s="4"/>
      <c r="AR1248" s="3"/>
      <c r="AS1248" s="3"/>
      <c r="AT1248" s="4"/>
      <c r="AU1248" s="3"/>
      <c r="AV1248" s="4"/>
      <c r="AW1248" s="4"/>
      <c r="AX1248" s="4"/>
      <c r="AY1248" s="4"/>
      <c r="AZ1248" s="4"/>
      <c r="BA1248" s="4"/>
      <c r="BB1248" s="4"/>
      <c r="BC1248" s="4"/>
      <c r="BD1248" s="4"/>
      <c r="BE1248" s="4"/>
      <c r="BF1248" s="3"/>
      <c r="BG1248" s="3"/>
      <c r="BH1248" s="3"/>
      <c r="BI1248" s="4"/>
      <c r="BJ1248" s="3"/>
      <c r="BK1248" s="4"/>
      <c r="BL1248" s="4"/>
      <c r="BM1248" s="3"/>
      <c r="BN1248" s="4"/>
      <c r="BO1248" s="4"/>
      <c r="BP1248" s="4"/>
      <c r="BQ1248" s="4"/>
      <c r="BR1248" s="4"/>
      <c r="BS1248" s="4"/>
      <c r="BT1248" s="4"/>
      <c r="BU1248" s="4"/>
      <c r="BV1248" s="4"/>
      <c r="BW1248" s="4"/>
      <c r="BX1248" s="4"/>
      <c r="BY1248" s="4"/>
      <c r="BZ1248" s="4"/>
      <c r="CA1248" s="4"/>
      <c r="CB1248" s="4"/>
      <c r="CC1248" s="4"/>
      <c r="CD1248" s="4"/>
      <c r="CE1248" s="4"/>
      <c r="CF1248" s="4"/>
      <c r="CG1248" s="4"/>
      <c r="CH1248" s="4"/>
      <c r="CI1248" s="4"/>
      <c r="CJ1248" s="4"/>
      <c r="CK1248" s="4"/>
      <c r="CL1248" s="4"/>
      <c r="CM1248" s="4"/>
      <c r="CN1248" s="4"/>
      <c r="CO1248" s="4"/>
      <c r="CP1248" s="4"/>
      <c r="CQ1248" s="4"/>
      <c r="CR1248" s="4"/>
      <c r="CS1248" s="4"/>
      <c r="CT1248" s="4"/>
      <c r="CU1248" s="4"/>
      <c r="CV1248" s="4"/>
      <c r="CW1248" s="4"/>
      <c r="CX1248" s="4"/>
      <c r="CY1248" s="4"/>
      <c r="CZ1248" s="4"/>
      <c r="DA1248" s="4"/>
      <c r="DB1248" s="4"/>
      <c r="DC1248" s="4"/>
      <c r="DD1248" s="4"/>
      <c r="DE1248" s="4"/>
      <c r="DF1248" s="3"/>
      <c r="DG1248" s="3"/>
      <c r="DH1248" s="4"/>
      <c r="DI1248" s="4"/>
      <c r="DJ1248" s="4"/>
      <c r="DK1248" s="4"/>
      <c r="DL1248" s="4"/>
      <c r="DM1248" s="4"/>
      <c r="DN1248" s="4"/>
      <c r="DO1248" s="4"/>
      <c r="DP1248" s="4"/>
      <c r="DQ1248" s="4"/>
      <c r="DR1248" s="4"/>
      <c r="DS1248" s="4"/>
      <c r="DT1248" s="4"/>
      <c r="DU1248" s="4"/>
      <c r="DV1248" s="4"/>
      <c r="DW1248" s="4"/>
      <c r="DX1248" s="4"/>
      <c r="DY1248" s="4"/>
      <c r="DZ1248" s="4"/>
      <c r="EA1248" s="4"/>
      <c r="EB1248" s="4"/>
      <c r="EC1248" s="4"/>
      <c r="ED1248" s="4"/>
      <c r="EE1248" s="4"/>
      <c r="EF1248" s="4"/>
      <c r="EG1248" s="4"/>
      <c r="EH1248" s="4"/>
      <c r="EI1248" s="4"/>
      <c r="EJ1248" s="4"/>
      <c r="EK1248" s="4"/>
      <c r="EL1248" s="4"/>
      <c r="EM1248" s="4"/>
      <c r="EN1248" s="4"/>
      <c r="EO1248" s="4"/>
      <c r="EP1248" s="4"/>
      <c r="EQ1248" s="4"/>
      <c r="ER1248" s="4"/>
      <c r="ES1248" s="4"/>
    </row>
    <row r="1249" spans="1:150" hidden="1">
      <c r="A1249" s="11" t="s">
        <v>9940</v>
      </c>
      <c r="B1249" s="3" t="s">
        <v>8373</v>
      </c>
      <c r="C1249" s="3">
        <v>2016</v>
      </c>
      <c r="D1249" s="3" t="s">
        <v>6434</v>
      </c>
      <c r="E1249" s="3" t="s">
        <v>9349</v>
      </c>
      <c r="F1249" s="3">
        <v>1</v>
      </c>
      <c r="G1249" s="3"/>
      <c r="H1249" s="3" t="s">
        <v>9351</v>
      </c>
      <c r="I1249" s="3"/>
      <c r="J1249" s="3"/>
      <c r="K1249" s="3" t="s">
        <v>322</v>
      </c>
      <c r="L1249" s="4"/>
      <c r="M1249" s="3" t="s">
        <v>9350</v>
      </c>
      <c r="T1249" s="3" t="s">
        <v>6436</v>
      </c>
      <c r="V1249" s="3"/>
      <c r="W1249" s="3"/>
      <c r="X1249" s="5" t="s">
        <v>6439</v>
      </c>
      <c r="Y1249" s="5"/>
      <c r="Z1249" s="3">
        <v>0</v>
      </c>
      <c r="AA1249" s="3" t="s">
        <v>9265</v>
      </c>
      <c r="AB1249" s="4"/>
      <c r="AE1249" s="3"/>
      <c r="AF1249" s="3"/>
      <c r="AG1249" s="4"/>
      <c r="AH1249" s="4"/>
      <c r="AI1249" s="4"/>
      <c r="AJ1249" s="4"/>
      <c r="AK1249" s="3"/>
      <c r="AL1249" s="3"/>
      <c r="AM1249" s="3"/>
      <c r="AN1249" s="3"/>
      <c r="AO1249" s="4"/>
      <c r="AP1249" s="3"/>
      <c r="AQ1249" s="4"/>
      <c r="AR1249" s="3"/>
      <c r="AS1249" s="3"/>
      <c r="AT1249" s="4"/>
      <c r="AU1249" s="3"/>
      <c r="AV1249" s="4"/>
      <c r="AW1249" s="4"/>
      <c r="AX1249" s="4"/>
      <c r="AY1249" s="4"/>
      <c r="AZ1249" s="4"/>
      <c r="BA1249" s="4"/>
      <c r="BB1249" s="4"/>
      <c r="BC1249" s="4"/>
      <c r="BD1249" s="4"/>
      <c r="BE1249" s="4"/>
      <c r="BF1249" s="3"/>
      <c r="BG1249" s="3"/>
      <c r="BH1249" s="3"/>
      <c r="BI1249" s="4"/>
      <c r="BJ1249" s="3"/>
      <c r="BK1249" s="4"/>
      <c r="BL1249" s="4"/>
      <c r="BM1249" s="4"/>
      <c r="BN1249" s="3"/>
      <c r="BO1249" s="4"/>
      <c r="BP1249" s="4"/>
      <c r="BQ1249" s="4"/>
      <c r="BR1249" s="4"/>
      <c r="BS1249" s="4"/>
      <c r="BT1249" s="4"/>
      <c r="BU1249" s="4"/>
      <c r="BV1249" s="4"/>
      <c r="BW1249" s="4"/>
      <c r="BX1249" s="4"/>
      <c r="BY1249" s="4"/>
      <c r="BZ1249" s="4"/>
      <c r="CA1249" s="4"/>
      <c r="CB1249" s="4"/>
      <c r="CC1249" s="4"/>
      <c r="CD1249" s="4"/>
      <c r="CE1249" s="4"/>
      <c r="CF1249" s="4"/>
      <c r="CG1249" s="4"/>
      <c r="CH1249" s="4"/>
      <c r="CI1249" s="4"/>
      <c r="CJ1249" s="4"/>
      <c r="CK1249" s="4"/>
      <c r="CL1249" s="4"/>
      <c r="CM1249" s="4"/>
      <c r="CN1249" s="4"/>
      <c r="CO1249" s="4"/>
      <c r="CP1249" s="4"/>
      <c r="CQ1249" s="4"/>
      <c r="CR1249" s="4"/>
      <c r="CS1249" s="4"/>
      <c r="CT1249" s="4"/>
      <c r="CU1249" s="4"/>
      <c r="CV1249" s="4"/>
      <c r="CW1249" s="4"/>
      <c r="CX1249" s="4"/>
      <c r="CY1249" s="4"/>
      <c r="CZ1249" s="4"/>
      <c r="DA1249" s="4"/>
      <c r="DB1249" s="4"/>
      <c r="DC1249" s="4"/>
      <c r="DD1249" s="4"/>
      <c r="DE1249" s="3"/>
      <c r="DF1249" s="3"/>
      <c r="DG1249" s="8"/>
      <c r="DH1249" s="4"/>
      <c r="DI1249" s="4"/>
      <c r="DJ1249" s="4"/>
      <c r="DK1249" s="4"/>
      <c r="DL1249" s="8"/>
      <c r="DM1249" s="8"/>
      <c r="DN1249" s="8"/>
      <c r="DO1249" s="8"/>
      <c r="DP1249" s="4"/>
      <c r="DQ1249" s="4"/>
      <c r="DR1249" s="4"/>
      <c r="DS1249" s="4"/>
      <c r="DT1249" s="4"/>
      <c r="DU1249" s="4"/>
      <c r="DV1249" s="4"/>
      <c r="DW1249" s="4"/>
      <c r="DX1249" s="4"/>
      <c r="DY1249" s="4"/>
      <c r="DZ1249" s="4"/>
      <c r="EA1249" s="4"/>
      <c r="EB1249" s="4"/>
      <c r="EC1249" s="4"/>
      <c r="ED1249" s="4"/>
      <c r="EE1249" s="4"/>
      <c r="EF1249" s="4"/>
      <c r="EG1249" s="4"/>
      <c r="EH1249" s="4"/>
      <c r="EI1249" s="4"/>
      <c r="EJ1249" s="8"/>
      <c r="EK1249" s="8"/>
      <c r="EL1249" s="8"/>
      <c r="EM1249" s="8"/>
      <c r="EN1249" s="8"/>
      <c r="EO1249" s="8"/>
      <c r="EP1249" s="4"/>
      <c r="EQ1249" s="4"/>
      <c r="ER1249" s="4"/>
    </row>
    <row r="1250" spans="1:150" hidden="1">
      <c r="A1250" s="11" t="s">
        <v>9940</v>
      </c>
      <c r="B1250" s="3" t="s">
        <v>8373</v>
      </c>
      <c r="C1250" s="3">
        <v>2015</v>
      </c>
      <c r="D1250" s="3" t="s">
        <v>5525</v>
      </c>
      <c r="E1250" s="3" t="s">
        <v>9352</v>
      </c>
      <c r="F1250" s="3">
        <v>1</v>
      </c>
      <c r="G1250" s="3"/>
      <c r="H1250" s="3" t="s">
        <v>9353</v>
      </c>
      <c r="I1250" s="3"/>
      <c r="J1250" s="3"/>
      <c r="K1250" s="3" t="s">
        <v>1073</v>
      </c>
      <c r="L1250" s="4"/>
      <c r="M1250" s="3" t="s">
        <v>8445</v>
      </c>
      <c r="T1250" s="3" t="s">
        <v>5527</v>
      </c>
      <c r="V1250" s="3"/>
      <c r="W1250" s="3"/>
      <c r="X1250" s="5" t="s">
        <v>5530</v>
      </c>
      <c r="Y1250" s="5"/>
      <c r="Z1250" s="3">
        <v>0</v>
      </c>
      <c r="AA1250" s="3" t="s">
        <v>9265</v>
      </c>
      <c r="AB1250" s="3"/>
      <c r="AE1250" s="3"/>
      <c r="AF1250" s="4"/>
      <c r="AG1250" s="4"/>
      <c r="AH1250" s="4"/>
      <c r="AI1250" s="4"/>
      <c r="AJ1250" s="4"/>
      <c r="AK1250" s="3"/>
      <c r="AL1250" s="3"/>
      <c r="AM1250" s="3"/>
      <c r="AN1250" s="3"/>
      <c r="AO1250" s="4"/>
      <c r="AP1250" s="3"/>
      <c r="AQ1250" s="4"/>
      <c r="AR1250" s="3"/>
      <c r="AS1250" s="3"/>
      <c r="AT1250" s="4"/>
      <c r="AU1250" s="3"/>
      <c r="AV1250" s="4"/>
      <c r="AW1250" s="4"/>
      <c r="AX1250" s="4"/>
      <c r="AY1250" s="4"/>
      <c r="AZ1250" s="4"/>
      <c r="BA1250" s="4"/>
      <c r="BB1250" s="4"/>
      <c r="BC1250" s="4"/>
      <c r="BD1250" s="4"/>
      <c r="BE1250" s="4"/>
      <c r="BF1250" s="3"/>
      <c r="BG1250" s="3"/>
      <c r="BH1250" s="3"/>
      <c r="BI1250" s="4"/>
      <c r="BJ1250" s="3"/>
      <c r="BK1250" s="4"/>
      <c r="BL1250" s="4"/>
      <c r="BM1250" s="3"/>
      <c r="BN1250" s="4"/>
      <c r="BO1250" s="4"/>
      <c r="BP1250" s="4"/>
      <c r="BQ1250" s="4"/>
      <c r="BR1250" s="4"/>
      <c r="BS1250" s="4"/>
      <c r="BT1250" s="4"/>
      <c r="BU1250" s="4"/>
      <c r="BV1250" s="4"/>
      <c r="BW1250" s="4"/>
      <c r="BX1250" s="4"/>
      <c r="BY1250" s="4"/>
      <c r="BZ1250" s="4"/>
      <c r="CA1250" s="4"/>
      <c r="CB1250" s="4"/>
      <c r="CC1250" s="4"/>
      <c r="CD1250" s="4"/>
      <c r="CE1250" s="4"/>
      <c r="CF1250" s="4"/>
      <c r="CG1250" s="4"/>
      <c r="CH1250" s="4"/>
      <c r="CI1250" s="4"/>
      <c r="CJ1250" s="4"/>
      <c r="CK1250" s="4"/>
      <c r="CL1250" s="4"/>
      <c r="CM1250" s="4"/>
      <c r="CN1250" s="4"/>
      <c r="CO1250" s="4"/>
      <c r="CP1250" s="4"/>
      <c r="CQ1250" s="4"/>
      <c r="CR1250" s="4"/>
      <c r="CS1250" s="4"/>
      <c r="CT1250" s="4"/>
      <c r="CU1250" s="4"/>
      <c r="CV1250" s="4"/>
      <c r="CW1250" s="4"/>
      <c r="CX1250" s="4"/>
      <c r="CY1250" s="4"/>
      <c r="CZ1250" s="4"/>
      <c r="DA1250" s="4"/>
      <c r="DB1250" s="4"/>
      <c r="DC1250" s="4"/>
      <c r="DD1250" s="3"/>
      <c r="DE1250" s="3"/>
      <c r="DF1250" s="4"/>
      <c r="DG1250" s="4"/>
      <c r="DH1250" s="4"/>
      <c r="DI1250" s="4"/>
      <c r="DJ1250" s="4"/>
      <c r="DK1250" s="4"/>
      <c r="DL1250" s="4"/>
      <c r="DM1250" s="4"/>
      <c r="DN1250" s="4"/>
      <c r="DO1250" s="4"/>
      <c r="DP1250" s="4"/>
      <c r="DQ1250" s="4"/>
      <c r="DR1250" s="4"/>
      <c r="DS1250" s="4"/>
      <c r="DT1250" s="4"/>
      <c r="DU1250" s="4"/>
      <c r="DV1250" s="4"/>
      <c r="DW1250" s="4"/>
      <c r="DX1250" s="4"/>
      <c r="DY1250" s="4"/>
      <c r="DZ1250" s="4"/>
      <c r="EA1250" s="4"/>
      <c r="EB1250" s="4"/>
      <c r="EC1250" s="4"/>
      <c r="ED1250" s="4"/>
      <c r="EE1250" s="4"/>
      <c r="EF1250" s="4"/>
      <c r="EG1250" s="4"/>
      <c r="EH1250" s="4"/>
      <c r="EI1250" s="4"/>
      <c r="EJ1250" s="4"/>
      <c r="EK1250" s="4"/>
      <c r="EL1250" s="4"/>
      <c r="EM1250" s="4"/>
      <c r="EN1250" s="4"/>
      <c r="EO1250" s="4"/>
      <c r="EP1250" s="4"/>
      <c r="EQ1250" s="4"/>
    </row>
    <row r="1251" spans="1:150" hidden="1">
      <c r="A1251" s="11" t="s">
        <v>9940</v>
      </c>
      <c r="B1251" s="3" t="s">
        <v>8379</v>
      </c>
      <c r="C1251" s="3">
        <v>2014</v>
      </c>
      <c r="D1251" s="3" t="s">
        <v>1642</v>
      </c>
      <c r="E1251" s="3" t="s">
        <v>9354</v>
      </c>
      <c r="F1251" s="3">
        <v>0</v>
      </c>
      <c r="G1251" s="3" t="s">
        <v>9249</v>
      </c>
      <c r="H1251" s="3" t="s">
        <v>1645</v>
      </c>
      <c r="I1251" s="3"/>
      <c r="J1251" s="3"/>
      <c r="K1251" s="4"/>
      <c r="L1251" s="4"/>
      <c r="M1251" s="4"/>
      <c r="T1251" s="4"/>
      <c r="V1251" s="4"/>
      <c r="W1251" s="4"/>
      <c r="X1251" s="5" t="s">
        <v>1646</v>
      </c>
      <c r="Y1251" s="5"/>
      <c r="Z1251" s="4"/>
      <c r="AA1251" s="4"/>
      <c r="AB1251" s="4"/>
      <c r="AE1251" s="4"/>
      <c r="AF1251" s="4"/>
      <c r="AG1251" s="3"/>
      <c r="AH1251" s="3"/>
      <c r="AI1251" s="3"/>
      <c r="AJ1251" s="3"/>
      <c r="AK1251" s="4"/>
      <c r="AL1251" s="4"/>
      <c r="AM1251" s="4"/>
      <c r="AN1251" s="4"/>
      <c r="AO1251" s="4"/>
      <c r="AP1251" s="4"/>
      <c r="AQ1251" s="4"/>
      <c r="AR1251" s="4"/>
      <c r="AS1251" s="4"/>
      <c r="AT1251" s="4"/>
      <c r="AU1251" s="4"/>
      <c r="AV1251" s="4"/>
      <c r="AW1251" s="3"/>
      <c r="AX1251" s="4"/>
      <c r="AY1251" s="3"/>
      <c r="AZ1251" s="3"/>
      <c r="BA1251" s="3"/>
      <c r="BB1251" s="4"/>
      <c r="BC1251" s="3"/>
      <c r="BD1251" s="3"/>
      <c r="BE1251" s="4"/>
      <c r="BF1251" s="4"/>
      <c r="BG1251" s="4"/>
      <c r="BH1251" s="4"/>
      <c r="BI1251" s="4"/>
      <c r="BJ1251" s="4"/>
      <c r="BK1251" s="4"/>
      <c r="BL1251" s="4"/>
      <c r="BM1251" s="4"/>
      <c r="BN1251" s="4"/>
      <c r="BO1251" s="4"/>
      <c r="BP1251" s="4"/>
      <c r="BQ1251" s="4"/>
      <c r="BR1251" s="4"/>
      <c r="BS1251" s="4"/>
      <c r="BT1251" s="4"/>
      <c r="BU1251" s="4"/>
      <c r="BV1251" s="4"/>
      <c r="BW1251" s="4"/>
      <c r="BX1251" s="4"/>
      <c r="BY1251" s="4"/>
      <c r="BZ1251" s="4"/>
      <c r="CA1251" s="4"/>
      <c r="CB1251" s="4"/>
      <c r="CC1251" s="4"/>
      <c r="CD1251" s="4"/>
      <c r="CE1251" s="4"/>
      <c r="CF1251" s="4"/>
      <c r="CG1251" s="4"/>
      <c r="CH1251" s="4"/>
      <c r="CI1251" s="4"/>
      <c r="CJ1251" s="4"/>
      <c r="CK1251" s="4"/>
      <c r="CL1251" s="4"/>
      <c r="CM1251" s="4"/>
      <c r="CN1251" s="4"/>
      <c r="CO1251" s="4"/>
      <c r="CP1251" s="4"/>
      <c r="CQ1251" s="4"/>
      <c r="CR1251" s="4"/>
      <c r="CS1251" s="4"/>
      <c r="CT1251" s="3"/>
      <c r="CU1251" s="3"/>
      <c r="CV1251" s="4"/>
      <c r="CW1251" s="4"/>
      <c r="CX1251" s="4"/>
      <c r="CY1251" s="4"/>
      <c r="CZ1251" s="4"/>
      <c r="DA1251" s="4"/>
      <c r="DB1251" s="4"/>
      <c r="DC1251" s="4"/>
      <c r="DD1251" s="4"/>
      <c r="DE1251" s="4"/>
      <c r="DF1251" s="4"/>
      <c r="DG1251" s="4"/>
      <c r="DH1251" s="4"/>
      <c r="DI1251" s="4"/>
      <c r="DJ1251" s="4"/>
      <c r="DK1251" s="4"/>
      <c r="DL1251" s="4"/>
      <c r="DM1251" s="4"/>
      <c r="DN1251" s="4"/>
      <c r="DO1251" s="4"/>
      <c r="DP1251" s="4"/>
      <c r="DQ1251" s="4"/>
      <c r="DR1251" s="4"/>
      <c r="DS1251" s="4"/>
      <c r="DT1251" s="4"/>
      <c r="DU1251" s="4"/>
      <c r="DV1251" s="4"/>
      <c r="DW1251" s="4"/>
      <c r="DX1251" s="4"/>
      <c r="DY1251" s="4"/>
      <c r="DZ1251" s="4"/>
      <c r="EA1251" s="4"/>
      <c r="EB1251" s="4"/>
      <c r="EC1251" s="4"/>
      <c r="ED1251" s="4"/>
      <c r="EE1251" s="4"/>
      <c r="EF1251" s="4"/>
      <c r="EG1251" s="4"/>
    </row>
    <row r="1252" spans="1:150" hidden="1">
      <c r="A1252" s="11" t="s">
        <v>9940</v>
      </c>
      <c r="B1252" s="3" t="s">
        <v>8373</v>
      </c>
      <c r="C1252" s="3">
        <v>2016</v>
      </c>
      <c r="D1252" s="3" t="s">
        <v>3252</v>
      </c>
      <c r="E1252" s="3" t="s">
        <v>8600</v>
      </c>
      <c r="F1252" s="3">
        <v>1</v>
      </c>
      <c r="G1252" s="3"/>
      <c r="H1252" s="3" t="s">
        <v>8602</v>
      </c>
      <c r="I1252" s="3"/>
      <c r="J1252" s="3"/>
      <c r="K1252" s="3" t="s">
        <v>4101</v>
      </c>
      <c r="L1252" s="4"/>
      <c r="M1252" s="3" t="s">
        <v>8601</v>
      </c>
      <c r="T1252" s="3" t="s">
        <v>4935</v>
      </c>
      <c r="V1252" s="3"/>
      <c r="W1252" s="4"/>
      <c r="X1252" s="5" t="s">
        <v>4938</v>
      </c>
      <c r="Y1252" s="5"/>
      <c r="Z1252" s="3">
        <v>1</v>
      </c>
      <c r="AA1252" s="4"/>
      <c r="AB1252" s="4"/>
      <c r="AE1252" s="3"/>
      <c r="AF1252" s="3"/>
      <c r="AG1252" s="4"/>
      <c r="AH1252" s="4"/>
      <c r="AI1252" s="4"/>
      <c r="AJ1252" s="4"/>
      <c r="AK1252" s="3"/>
      <c r="AL1252" s="3"/>
      <c r="AM1252" s="3"/>
      <c r="AN1252" s="3"/>
      <c r="AO1252" s="4"/>
      <c r="AP1252" s="3"/>
      <c r="AQ1252" s="4"/>
      <c r="AR1252" s="3"/>
      <c r="AS1252" s="3"/>
      <c r="AT1252" s="4"/>
      <c r="AU1252" s="3"/>
      <c r="AV1252" s="4"/>
      <c r="AW1252" s="4"/>
      <c r="AX1252" s="4"/>
      <c r="AY1252" s="4"/>
      <c r="AZ1252" s="4"/>
      <c r="BA1252" s="4"/>
      <c r="BB1252" s="4"/>
      <c r="BC1252" s="4"/>
      <c r="BD1252" s="4"/>
      <c r="BE1252" s="4"/>
      <c r="BF1252" s="3"/>
      <c r="BG1252" s="3"/>
      <c r="BH1252" s="3"/>
      <c r="BI1252" s="4"/>
      <c r="BJ1252" s="3"/>
      <c r="BK1252" s="4"/>
      <c r="BL1252" s="4"/>
      <c r="BM1252" s="3"/>
      <c r="BN1252" s="4"/>
      <c r="BO1252" s="4"/>
      <c r="BP1252" s="4"/>
      <c r="BQ1252" s="4"/>
      <c r="BR1252" s="4"/>
      <c r="BS1252" s="4"/>
      <c r="BT1252" s="4"/>
      <c r="BU1252" s="4"/>
      <c r="BV1252" s="4"/>
      <c r="BW1252" s="4"/>
      <c r="BX1252" s="4"/>
      <c r="BY1252" s="4"/>
      <c r="BZ1252" s="4"/>
      <c r="CA1252" s="4"/>
      <c r="CB1252" s="4"/>
      <c r="CC1252" s="4"/>
      <c r="CD1252" s="4"/>
      <c r="CE1252" s="4"/>
      <c r="CF1252" s="4"/>
      <c r="CG1252" s="4"/>
      <c r="CH1252" s="4"/>
      <c r="CI1252" s="4"/>
      <c r="CJ1252" s="4"/>
      <c r="CK1252" s="4"/>
      <c r="CL1252" s="4"/>
      <c r="CM1252" s="4"/>
      <c r="CN1252" s="4"/>
      <c r="CO1252" s="4"/>
      <c r="CP1252" s="4"/>
      <c r="CQ1252" s="4"/>
      <c r="CR1252" s="4"/>
      <c r="CS1252" s="4"/>
      <c r="CT1252" s="4"/>
      <c r="CU1252" s="4"/>
      <c r="CV1252" s="4"/>
      <c r="CW1252" s="4"/>
      <c r="CX1252" s="3"/>
      <c r="CY1252" s="3"/>
      <c r="CZ1252" s="8"/>
      <c r="DA1252" s="4"/>
      <c r="DB1252" s="4"/>
      <c r="DC1252" s="4"/>
      <c r="DD1252" s="4"/>
      <c r="DE1252" s="8"/>
      <c r="DF1252" s="8"/>
      <c r="DG1252" s="8"/>
      <c r="DH1252" s="8"/>
      <c r="DI1252" s="4"/>
      <c r="DJ1252" s="4"/>
      <c r="DK1252" s="4"/>
      <c r="DL1252" s="4"/>
      <c r="DM1252" s="4"/>
      <c r="DN1252" s="4"/>
      <c r="DO1252" s="4"/>
      <c r="DP1252" s="4"/>
      <c r="DQ1252" s="4"/>
      <c r="DR1252" s="4"/>
      <c r="DS1252" s="4"/>
      <c r="DT1252" s="4"/>
      <c r="DU1252" s="4"/>
      <c r="DV1252" s="4"/>
      <c r="DW1252" s="4"/>
      <c r="DX1252" s="4"/>
      <c r="DY1252" s="4"/>
      <c r="DZ1252" s="4"/>
      <c r="EA1252" s="4"/>
      <c r="EB1252" s="4"/>
      <c r="EC1252" s="8"/>
      <c r="ED1252" s="8"/>
      <c r="EE1252" s="8"/>
      <c r="EF1252" s="8"/>
      <c r="EG1252" s="8"/>
      <c r="EH1252" s="8"/>
      <c r="EI1252" s="4"/>
      <c r="EJ1252" s="4"/>
      <c r="EK1252" s="4"/>
    </row>
    <row r="1253" spans="1:150" hidden="1">
      <c r="A1253" s="11" t="s">
        <v>9940</v>
      </c>
      <c r="B1253" s="3" t="s">
        <v>8379</v>
      </c>
      <c r="C1253" s="3">
        <v>2013</v>
      </c>
      <c r="D1253" s="3" t="s">
        <v>4403</v>
      </c>
      <c r="E1253" s="3" t="s">
        <v>8603</v>
      </c>
      <c r="F1253" s="3">
        <v>1</v>
      </c>
      <c r="G1253" s="4"/>
      <c r="H1253" s="3" t="s">
        <v>4406</v>
      </c>
      <c r="I1253" s="3"/>
      <c r="J1253" s="3"/>
      <c r="K1253" s="4"/>
      <c r="L1253" s="4"/>
      <c r="M1253" s="4"/>
      <c r="T1253" s="4"/>
      <c r="V1253" s="3"/>
      <c r="W1253" s="3"/>
      <c r="X1253" s="5" t="s">
        <v>4407</v>
      </c>
      <c r="Y1253" s="5"/>
      <c r="Z1253" s="3">
        <v>1</v>
      </c>
      <c r="AA1253" s="4"/>
      <c r="AB1253" s="4"/>
      <c r="AE1253" s="3"/>
      <c r="AF1253" s="3"/>
      <c r="AG1253" s="3"/>
      <c r="AH1253" s="4"/>
      <c r="AI1253" s="4"/>
      <c r="AJ1253" s="4"/>
      <c r="AK1253" s="3"/>
      <c r="AL1253" s="3"/>
      <c r="AM1253" s="3"/>
      <c r="AN1253" s="3"/>
      <c r="AO1253" s="4"/>
      <c r="AP1253" s="4"/>
      <c r="AQ1253" s="4"/>
      <c r="AR1253" s="4"/>
      <c r="AS1253" s="4"/>
      <c r="AT1253" s="4"/>
      <c r="AU1253" s="4"/>
      <c r="AV1253" s="4"/>
      <c r="AW1253" s="4"/>
      <c r="AX1253" s="4"/>
      <c r="AY1253" s="4"/>
      <c r="AZ1253" s="4"/>
      <c r="BA1253" s="3"/>
      <c r="BB1253" s="4"/>
      <c r="BC1253" s="3"/>
      <c r="BD1253" s="3"/>
      <c r="BE1253" s="3"/>
      <c r="BF1253" s="4"/>
      <c r="BG1253" s="3"/>
      <c r="BH1253" s="3"/>
      <c r="BI1253" s="4"/>
      <c r="BJ1253" s="4"/>
      <c r="BK1253" s="4"/>
      <c r="BL1253" s="4"/>
      <c r="BM1253" s="4"/>
      <c r="BN1253" s="4"/>
      <c r="BO1253" s="4"/>
      <c r="BP1253" s="4"/>
      <c r="BQ1253" s="4"/>
      <c r="BR1253" s="4"/>
      <c r="BS1253" s="4"/>
      <c r="BT1253" s="4"/>
      <c r="BU1253" s="4"/>
      <c r="BV1253" s="4"/>
      <c r="BW1253" s="4"/>
      <c r="BX1253" s="4"/>
      <c r="BY1253" s="4"/>
      <c r="BZ1253" s="4"/>
      <c r="CA1253" s="4"/>
      <c r="CB1253" s="4"/>
      <c r="CC1253" s="4"/>
      <c r="CD1253" s="4"/>
      <c r="CE1253" s="4"/>
      <c r="CF1253" s="4"/>
      <c r="CG1253" s="4"/>
      <c r="CH1253" s="4"/>
      <c r="CI1253" s="4"/>
      <c r="CJ1253" s="4"/>
      <c r="CK1253" s="4"/>
      <c r="CL1253" s="4"/>
      <c r="CM1253" s="4"/>
      <c r="CN1253" s="4"/>
      <c r="CO1253" s="4"/>
      <c r="CP1253" s="4"/>
      <c r="CQ1253" s="4"/>
      <c r="CR1253" s="4"/>
      <c r="CS1253" s="4"/>
      <c r="CT1253" s="4"/>
      <c r="CU1253" s="3"/>
      <c r="CV1253" s="3"/>
      <c r="CW1253" s="3"/>
      <c r="CX1253" s="4"/>
      <c r="CY1253" s="4"/>
      <c r="CZ1253" s="4"/>
      <c r="DA1253" s="4"/>
      <c r="DB1253" s="8"/>
      <c r="DC1253" s="8"/>
      <c r="DD1253" s="8"/>
      <c r="DE1253" s="8"/>
      <c r="DF1253" s="4"/>
      <c r="DG1253" s="4"/>
      <c r="DH1253" s="4"/>
      <c r="DI1253" s="4"/>
      <c r="DJ1253" s="4"/>
      <c r="DK1253" s="4"/>
      <c r="DL1253" s="4"/>
      <c r="DM1253" s="4"/>
      <c r="DN1253" s="4"/>
      <c r="DO1253" s="4"/>
      <c r="DP1253" s="4"/>
      <c r="DQ1253" s="4"/>
      <c r="DR1253" s="4"/>
      <c r="DS1253" s="4"/>
      <c r="DT1253" s="4"/>
      <c r="DU1253" s="4"/>
      <c r="DV1253" s="4"/>
      <c r="DW1253" s="4"/>
      <c r="DX1253" s="4"/>
      <c r="DY1253" s="4"/>
      <c r="DZ1253" s="3"/>
      <c r="EA1253" s="3"/>
      <c r="EB1253" s="3"/>
      <c r="EC1253" s="3"/>
      <c r="ED1253" s="3"/>
      <c r="EE1253" s="3"/>
      <c r="EF1253" s="4"/>
      <c r="EG1253" s="4"/>
      <c r="EH1253" s="3"/>
    </row>
    <row r="1254" spans="1:150" hidden="1">
      <c r="A1254" s="11" t="s">
        <v>9940</v>
      </c>
      <c r="B1254" s="3" t="s">
        <v>8373</v>
      </c>
      <c r="C1254" s="3">
        <v>2015</v>
      </c>
      <c r="D1254" s="3" t="s">
        <v>9355</v>
      </c>
      <c r="E1254" s="3" t="s">
        <v>9356</v>
      </c>
      <c r="F1254" s="3">
        <v>1</v>
      </c>
      <c r="G1254" s="3"/>
      <c r="H1254" s="3" t="s">
        <v>9360</v>
      </c>
      <c r="I1254" s="3"/>
      <c r="J1254" s="3"/>
      <c r="K1254" s="3" t="s">
        <v>48</v>
      </c>
      <c r="L1254" s="4"/>
      <c r="M1254" s="3" t="s">
        <v>9357</v>
      </c>
      <c r="T1254" s="3" t="s">
        <v>9358</v>
      </c>
      <c r="V1254" s="3"/>
      <c r="W1254" s="3"/>
      <c r="X1254" s="5" t="s">
        <v>9359</v>
      </c>
      <c r="Y1254" s="5"/>
      <c r="Z1254" s="3">
        <v>0</v>
      </c>
      <c r="AA1254" s="3" t="s">
        <v>9178</v>
      </c>
      <c r="AB1254" s="3"/>
      <c r="AE1254" s="3"/>
      <c r="AF1254" s="4"/>
      <c r="AG1254" s="4"/>
      <c r="AH1254" s="4"/>
      <c r="AI1254" s="4"/>
      <c r="AJ1254" s="4"/>
      <c r="AK1254" s="3"/>
      <c r="AL1254" s="3"/>
      <c r="AM1254" s="3"/>
      <c r="AN1254" s="3"/>
      <c r="AO1254" s="4"/>
      <c r="AP1254" s="3"/>
      <c r="AQ1254" s="4"/>
      <c r="AR1254" s="3"/>
      <c r="AS1254" s="3"/>
      <c r="AT1254" s="4"/>
      <c r="AU1254" s="3"/>
      <c r="AV1254" s="4"/>
      <c r="AW1254" s="4"/>
      <c r="AX1254" s="4"/>
      <c r="AY1254" s="4"/>
      <c r="AZ1254" s="4"/>
      <c r="BA1254" s="4"/>
      <c r="BB1254" s="4"/>
      <c r="BC1254" s="4"/>
      <c r="BD1254" s="4"/>
      <c r="BE1254" s="4"/>
      <c r="BF1254" s="3"/>
      <c r="BG1254" s="3"/>
      <c r="BH1254" s="3"/>
      <c r="BI1254" s="4"/>
      <c r="BJ1254" s="3"/>
      <c r="BK1254" s="4"/>
      <c r="BL1254" s="4"/>
      <c r="BM1254" s="3"/>
      <c r="BN1254" s="4"/>
      <c r="BO1254" s="4"/>
      <c r="BP1254" s="4"/>
      <c r="BQ1254" s="4"/>
      <c r="BR1254" s="4"/>
      <c r="BS1254" s="4"/>
      <c r="BT1254" s="4"/>
      <c r="BU1254" s="4"/>
      <c r="BV1254" s="4"/>
      <c r="BW1254" s="4"/>
      <c r="BX1254" s="4"/>
      <c r="BY1254" s="4"/>
      <c r="BZ1254" s="4"/>
      <c r="CA1254" s="4"/>
      <c r="CB1254" s="4"/>
      <c r="CC1254" s="4"/>
      <c r="CD1254" s="4"/>
      <c r="CE1254" s="4"/>
      <c r="CF1254" s="4"/>
      <c r="CG1254" s="4"/>
      <c r="CH1254" s="4"/>
      <c r="CI1254" s="4"/>
      <c r="CJ1254" s="4"/>
      <c r="CK1254" s="4"/>
      <c r="CL1254" s="4"/>
      <c r="CM1254" s="4"/>
      <c r="CN1254" s="4"/>
      <c r="CO1254" s="4"/>
      <c r="CP1254" s="4"/>
      <c r="CQ1254" s="4"/>
      <c r="CR1254" s="4"/>
      <c r="CS1254" s="4"/>
      <c r="CT1254" s="4"/>
      <c r="CU1254" s="4"/>
      <c r="CV1254" s="4"/>
      <c r="CW1254" s="4"/>
      <c r="CX1254" s="4"/>
      <c r="CY1254" s="4"/>
      <c r="CZ1254" s="4"/>
      <c r="DA1254" s="4"/>
      <c r="DB1254" s="4"/>
      <c r="DC1254" s="3"/>
      <c r="DD1254" s="3"/>
      <c r="DE1254" s="4"/>
      <c r="DF1254" s="4"/>
      <c r="DG1254" s="4"/>
      <c r="DH1254" s="4"/>
      <c r="DI1254" s="4"/>
      <c r="DJ1254" s="4"/>
      <c r="DK1254" s="4"/>
      <c r="DL1254" s="4"/>
      <c r="DM1254" s="4"/>
      <c r="DN1254" s="4"/>
      <c r="DO1254" s="4"/>
      <c r="DP1254" s="4"/>
      <c r="DQ1254" s="4"/>
      <c r="DR1254" s="4"/>
      <c r="DS1254" s="4"/>
      <c r="DT1254" s="4"/>
      <c r="DU1254" s="4"/>
      <c r="DV1254" s="4"/>
      <c r="DW1254" s="4"/>
      <c r="DX1254" s="4"/>
      <c r="DY1254" s="4"/>
      <c r="DZ1254" s="4"/>
      <c r="EA1254" s="4"/>
      <c r="EB1254" s="4"/>
      <c r="EC1254" s="4"/>
      <c r="ED1254" s="4"/>
      <c r="EE1254" s="4"/>
      <c r="EF1254" s="4"/>
      <c r="EG1254" s="4"/>
      <c r="EH1254" s="4"/>
      <c r="EI1254" s="4"/>
      <c r="EJ1254" s="4"/>
      <c r="EK1254" s="4"/>
      <c r="EL1254" s="4"/>
      <c r="EM1254" s="4"/>
      <c r="EN1254" s="4"/>
      <c r="EO1254" s="4"/>
      <c r="EP1254" s="4"/>
    </row>
    <row r="1255" spans="1:150" hidden="1">
      <c r="A1255" s="11" t="s">
        <v>9940</v>
      </c>
      <c r="B1255" s="3" t="s">
        <v>8386</v>
      </c>
      <c r="C1255" s="3">
        <v>2017</v>
      </c>
      <c r="D1255" s="3" t="s">
        <v>9361</v>
      </c>
      <c r="E1255" s="3" t="s">
        <v>9362</v>
      </c>
      <c r="F1255" s="3">
        <v>1</v>
      </c>
      <c r="G1255" s="3"/>
      <c r="H1255" s="3" t="s">
        <v>9366</v>
      </c>
      <c r="I1255" s="3"/>
      <c r="J1255" s="3"/>
      <c r="K1255" s="3" t="s">
        <v>9363</v>
      </c>
      <c r="L1255" s="3" t="s">
        <v>9364</v>
      </c>
      <c r="M1255" s="4"/>
      <c r="T1255" s="4"/>
      <c r="V1255" s="3"/>
      <c r="W1255" s="3"/>
      <c r="X1255" s="5" t="s">
        <v>9365</v>
      </c>
      <c r="Y1255" s="5"/>
      <c r="Z1255" s="3">
        <v>0</v>
      </c>
      <c r="AA1255" s="3" t="s">
        <v>9265</v>
      </c>
      <c r="AB1255" s="4"/>
      <c r="AE1255" s="3"/>
      <c r="AF1255" s="4"/>
      <c r="AG1255" s="4"/>
      <c r="AH1255" s="4"/>
      <c r="AI1255" s="4"/>
      <c r="AJ1255" s="4"/>
      <c r="AK1255" s="3"/>
      <c r="AL1255" s="3"/>
      <c r="AM1255" s="3"/>
      <c r="AN1255" s="3"/>
      <c r="AO1255" s="4"/>
      <c r="AP1255" s="3"/>
      <c r="AQ1255" s="4"/>
      <c r="AR1255" s="4"/>
      <c r="AS1255" s="4"/>
      <c r="AT1255" s="4"/>
      <c r="AU1255" s="4"/>
      <c r="AV1255" s="4"/>
      <c r="AW1255" s="3"/>
      <c r="AX1255" s="4"/>
      <c r="AY1255" s="4"/>
      <c r="AZ1255" s="3"/>
      <c r="BA1255" s="3"/>
      <c r="BB1255" s="4"/>
      <c r="BC1255" s="4"/>
      <c r="BD1255" s="3"/>
      <c r="BE1255" s="3"/>
      <c r="BF1255" s="3"/>
      <c r="BG1255" s="4"/>
      <c r="BH1255" s="4"/>
      <c r="BI1255" s="4"/>
      <c r="BJ1255" s="4"/>
      <c r="BK1255" s="4"/>
      <c r="BL1255" s="3"/>
      <c r="BM1255" s="3"/>
      <c r="BN1255" s="4"/>
      <c r="BO1255" s="4"/>
      <c r="BP1255" s="4"/>
      <c r="BQ1255" s="4"/>
      <c r="BR1255" s="4"/>
      <c r="BS1255" s="4"/>
      <c r="BT1255" s="4"/>
      <c r="BU1255" s="4"/>
      <c r="BV1255" s="4"/>
      <c r="BW1255" s="4"/>
      <c r="BX1255" s="4"/>
      <c r="BY1255" s="4"/>
      <c r="BZ1255" s="4"/>
      <c r="CA1255" s="4"/>
      <c r="CB1255" s="4"/>
      <c r="CC1255" s="4"/>
      <c r="CD1255" s="4"/>
      <c r="CE1255" s="4"/>
      <c r="CF1255" s="4"/>
      <c r="CG1255" s="4"/>
      <c r="CH1255" s="4"/>
      <c r="CI1255" s="4"/>
      <c r="CJ1255" s="4"/>
      <c r="CK1255" s="4"/>
      <c r="CL1255" s="4"/>
      <c r="CM1255" s="4"/>
      <c r="CN1255" s="4"/>
      <c r="CO1255" s="4"/>
      <c r="CP1255" s="4"/>
      <c r="CQ1255" s="4"/>
      <c r="CR1255" s="4"/>
      <c r="CS1255" s="4"/>
      <c r="CT1255" s="4"/>
      <c r="CU1255" s="4"/>
      <c r="CV1255" s="4"/>
      <c r="CW1255" s="4"/>
      <c r="CX1255" s="4"/>
      <c r="CY1255" s="4"/>
      <c r="CZ1255" s="4"/>
      <c r="DA1255" s="4"/>
      <c r="DB1255" s="4"/>
      <c r="DC1255" s="4"/>
      <c r="DD1255" s="4"/>
      <c r="DE1255" s="3"/>
      <c r="DF1255" s="3"/>
      <c r="DG1255" s="4"/>
      <c r="DH1255" s="4"/>
      <c r="DI1255" s="4"/>
      <c r="DJ1255" s="4"/>
      <c r="DK1255" s="4"/>
      <c r="DL1255" s="4"/>
      <c r="DM1255" s="4"/>
      <c r="DN1255" s="4"/>
      <c r="DO1255" s="4"/>
      <c r="DP1255" s="4"/>
      <c r="DQ1255" s="4"/>
      <c r="DR1255" s="4"/>
      <c r="DS1255" s="4"/>
      <c r="DT1255" s="4"/>
      <c r="DU1255" s="4"/>
      <c r="DV1255" s="4"/>
      <c r="DW1255" s="4"/>
      <c r="DX1255" s="4"/>
      <c r="DY1255" s="4"/>
      <c r="DZ1255" s="4"/>
      <c r="EA1255" s="4"/>
      <c r="EB1255" s="4"/>
      <c r="EC1255" s="4"/>
      <c r="ED1255" s="4"/>
      <c r="EE1255" s="4"/>
      <c r="EF1255" s="4"/>
      <c r="EG1255" s="4"/>
      <c r="EH1255" s="4"/>
      <c r="EI1255" s="4"/>
      <c r="EJ1255" s="4"/>
      <c r="EK1255" s="4"/>
      <c r="EL1255" s="4"/>
      <c r="EM1255" s="4"/>
      <c r="EN1255" s="4"/>
      <c r="EO1255" s="4"/>
      <c r="EP1255" s="4"/>
      <c r="EQ1255" s="4"/>
      <c r="ER1255" s="4"/>
    </row>
    <row r="1256" spans="1:150" hidden="1">
      <c r="A1256" s="11" t="s">
        <v>9940</v>
      </c>
      <c r="B1256" s="3" t="s">
        <v>8373</v>
      </c>
      <c r="C1256" s="3">
        <v>2018</v>
      </c>
      <c r="D1256" s="3" t="s">
        <v>9367</v>
      </c>
      <c r="E1256" s="3" t="s">
        <v>9368</v>
      </c>
      <c r="F1256" s="3">
        <v>1</v>
      </c>
      <c r="G1256" s="3"/>
      <c r="H1256" s="3" t="s">
        <v>9369</v>
      </c>
      <c r="I1256" s="3"/>
      <c r="J1256" s="3"/>
      <c r="K1256" s="3" t="s">
        <v>93</v>
      </c>
      <c r="L1256" s="4"/>
      <c r="M1256" s="3" t="s">
        <v>8511</v>
      </c>
      <c r="T1256" s="3" t="s">
        <v>5649</v>
      </c>
      <c r="V1256" s="3"/>
      <c r="W1256" s="3"/>
      <c r="X1256" s="5" t="s">
        <v>5652</v>
      </c>
      <c r="Y1256" s="5"/>
      <c r="Z1256" s="3">
        <v>0</v>
      </c>
      <c r="AA1256" s="3" t="s">
        <v>9237</v>
      </c>
      <c r="AB1256" s="4"/>
      <c r="AE1256" s="3"/>
      <c r="AF1256" s="4"/>
      <c r="AG1256" s="4"/>
      <c r="AH1256" s="4"/>
      <c r="AI1256" s="4"/>
      <c r="AJ1256" s="4"/>
      <c r="AK1256" s="3"/>
      <c r="AL1256" s="3"/>
      <c r="AM1256" s="3"/>
      <c r="AN1256" s="3"/>
      <c r="AO1256" s="4"/>
      <c r="AP1256" s="3"/>
      <c r="AQ1256" s="4"/>
      <c r="AR1256" s="3"/>
      <c r="AS1256" s="3"/>
      <c r="AT1256" s="4"/>
      <c r="AU1256" s="3"/>
      <c r="AV1256" s="4"/>
      <c r="AW1256" s="4"/>
      <c r="AX1256" s="4"/>
      <c r="AY1256" s="4"/>
      <c r="AZ1256" s="4"/>
      <c r="BA1256" s="4"/>
      <c r="BB1256" s="4"/>
      <c r="BC1256" s="4"/>
      <c r="BD1256" s="4"/>
      <c r="BE1256" s="4"/>
      <c r="BF1256" s="3"/>
      <c r="BG1256" s="3"/>
      <c r="BH1256" s="3"/>
      <c r="BI1256" s="4"/>
      <c r="BJ1256" s="3"/>
      <c r="BK1256" s="4"/>
      <c r="BL1256" s="4"/>
      <c r="BM1256" s="3"/>
      <c r="BN1256" s="4"/>
      <c r="BO1256" s="4"/>
      <c r="BP1256" s="4"/>
      <c r="BQ1256" s="4"/>
      <c r="BR1256" s="4"/>
      <c r="BS1256" s="4"/>
      <c r="BT1256" s="4"/>
      <c r="BU1256" s="4"/>
      <c r="BV1256" s="4"/>
      <c r="BW1256" s="4"/>
      <c r="BX1256" s="4"/>
      <c r="BY1256" s="4"/>
      <c r="BZ1256" s="4"/>
      <c r="CA1256" s="4"/>
      <c r="CB1256" s="4"/>
      <c r="CC1256" s="4"/>
      <c r="CD1256" s="4"/>
      <c r="CE1256" s="4"/>
      <c r="CF1256" s="4"/>
      <c r="CG1256" s="4"/>
      <c r="CH1256" s="4"/>
      <c r="CI1256" s="4"/>
      <c r="CJ1256" s="4"/>
      <c r="CK1256" s="4"/>
      <c r="CL1256" s="4"/>
      <c r="CM1256" s="4"/>
      <c r="CN1256" s="4"/>
      <c r="CO1256" s="4"/>
      <c r="CP1256" s="4"/>
      <c r="CQ1256" s="4"/>
      <c r="CR1256" s="4"/>
      <c r="CS1256" s="4"/>
      <c r="CT1256" s="4"/>
      <c r="CU1256" s="4"/>
      <c r="CV1256" s="4"/>
      <c r="CW1256" s="4"/>
      <c r="CX1256" s="4"/>
      <c r="CY1256" s="4"/>
      <c r="CZ1256" s="4"/>
      <c r="DA1256" s="4"/>
      <c r="DB1256" s="4"/>
      <c r="DC1256" s="4"/>
      <c r="DD1256" s="4"/>
      <c r="DE1256" s="3"/>
      <c r="DF1256" s="3"/>
      <c r="DG1256" s="4"/>
      <c r="DH1256" s="4"/>
      <c r="DI1256" s="4"/>
      <c r="DJ1256" s="4"/>
      <c r="DK1256" s="4"/>
      <c r="DL1256" s="4"/>
      <c r="DM1256" s="4"/>
      <c r="DN1256" s="4"/>
      <c r="DO1256" s="4"/>
      <c r="DP1256" s="4"/>
      <c r="DQ1256" s="4"/>
      <c r="DR1256" s="4"/>
      <c r="DS1256" s="4"/>
      <c r="DT1256" s="4"/>
      <c r="DU1256" s="4"/>
      <c r="DV1256" s="4"/>
      <c r="DW1256" s="4"/>
      <c r="DX1256" s="4"/>
      <c r="DY1256" s="4"/>
      <c r="DZ1256" s="4"/>
      <c r="EA1256" s="4"/>
      <c r="EB1256" s="4"/>
      <c r="EC1256" s="4"/>
      <c r="ED1256" s="4"/>
      <c r="EE1256" s="4"/>
      <c r="EF1256" s="4"/>
      <c r="EG1256" s="4"/>
      <c r="EH1256" s="4"/>
      <c r="EI1256" s="4"/>
      <c r="EJ1256" s="4"/>
      <c r="EK1256" s="4"/>
      <c r="EL1256" s="4"/>
      <c r="EM1256" s="4"/>
      <c r="EN1256" s="4"/>
      <c r="EO1256" s="4"/>
      <c r="EP1256" s="4"/>
      <c r="EQ1256" s="4"/>
      <c r="ER1256" s="4"/>
    </row>
    <row r="1257" spans="1:150" hidden="1">
      <c r="A1257" s="11" t="s">
        <v>9940</v>
      </c>
      <c r="B1257" s="3" t="s">
        <v>8373</v>
      </c>
      <c r="C1257" s="3">
        <v>2013</v>
      </c>
      <c r="D1257" s="3" t="s">
        <v>1707</v>
      </c>
      <c r="E1257" s="3" t="s">
        <v>8604</v>
      </c>
      <c r="F1257" s="3">
        <v>1</v>
      </c>
      <c r="G1257" s="3"/>
      <c r="H1257" s="3" t="s">
        <v>1711</v>
      </c>
      <c r="I1257" s="3"/>
      <c r="J1257" s="3"/>
      <c r="K1257" s="3" t="s">
        <v>370</v>
      </c>
      <c r="L1257" s="4"/>
      <c r="M1257" s="3" t="s">
        <v>8582</v>
      </c>
      <c r="T1257" s="3" t="s">
        <v>1709</v>
      </c>
      <c r="V1257" s="3"/>
      <c r="W1257" s="3"/>
      <c r="X1257" s="5" t="s">
        <v>1712</v>
      </c>
      <c r="Y1257" s="5"/>
      <c r="Z1257" s="3">
        <v>1</v>
      </c>
      <c r="AA1257" s="4"/>
      <c r="AB1257" s="3"/>
      <c r="AE1257" s="3"/>
      <c r="AF1257" s="3"/>
      <c r="AG1257" s="4"/>
      <c r="AH1257" s="4"/>
      <c r="AI1257" s="4"/>
      <c r="AJ1257" s="4"/>
      <c r="AK1257" s="3"/>
      <c r="AL1257" s="3"/>
      <c r="AM1257" s="3"/>
      <c r="AN1257" s="3"/>
      <c r="AO1257" s="4"/>
      <c r="AP1257" s="3"/>
      <c r="AQ1257" s="4"/>
      <c r="AR1257" s="3"/>
      <c r="AS1257" s="3"/>
      <c r="AT1257" s="4"/>
      <c r="AU1257" s="3"/>
      <c r="AV1257" s="4"/>
      <c r="AW1257" s="4"/>
      <c r="AX1257" s="4"/>
      <c r="AY1257" s="4"/>
      <c r="AZ1257" s="4"/>
      <c r="BA1257" s="4"/>
      <c r="BB1257" s="4"/>
      <c r="BC1257" s="4"/>
      <c r="BD1257" s="4"/>
      <c r="BE1257" s="4"/>
      <c r="BF1257" s="3"/>
      <c r="BG1257" s="3"/>
      <c r="BH1257" s="3"/>
      <c r="BI1257" s="4"/>
      <c r="BJ1257" s="3"/>
      <c r="BK1257" s="4"/>
      <c r="BL1257" s="4"/>
      <c r="BM1257" s="3"/>
      <c r="BN1257" s="4"/>
      <c r="BO1257" s="4"/>
      <c r="BP1257" s="4"/>
      <c r="BQ1257" s="4"/>
      <c r="BR1257" s="4"/>
      <c r="BS1257" s="4"/>
      <c r="BT1257" s="4"/>
      <c r="BU1257" s="4"/>
      <c r="BV1257" s="4"/>
      <c r="BW1257" s="4"/>
      <c r="BX1257" s="4"/>
      <c r="BY1257" s="4"/>
      <c r="BZ1257" s="4"/>
      <c r="CA1257" s="4"/>
      <c r="CB1257" s="4"/>
      <c r="CC1257" s="4"/>
      <c r="CD1257" s="4"/>
      <c r="CE1257" s="4"/>
      <c r="CF1257" s="4"/>
      <c r="CG1257" s="4"/>
      <c r="CH1257" s="4"/>
      <c r="CI1257" s="4"/>
      <c r="CJ1257" s="4"/>
      <c r="CK1257" s="4"/>
      <c r="CL1257" s="4"/>
      <c r="CM1257" s="4"/>
      <c r="CN1257" s="4"/>
      <c r="CO1257" s="3"/>
      <c r="CP1257" s="3"/>
      <c r="CQ1257" s="8"/>
      <c r="CR1257" s="4"/>
      <c r="CS1257" s="4"/>
      <c r="CT1257" s="4"/>
      <c r="CU1257" s="4"/>
      <c r="CV1257" s="8"/>
      <c r="CW1257" s="8"/>
      <c r="CX1257" s="8"/>
      <c r="CY1257" s="8"/>
      <c r="CZ1257" s="4"/>
      <c r="DA1257" s="4"/>
      <c r="DB1257" s="4"/>
      <c r="DC1257" s="4"/>
      <c r="DD1257" s="4"/>
      <c r="DE1257" s="4"/>
      <c r="DF1257" s="4"/>
      <c r="DG1257" s="4"/>
      <c r="DH1257" s="4"/>
      <c r="DI1257" s="4"/>
      <c r="DJ1257" s="4"/>
      <c r="DK1257" s="4"/>
      <c r="DL1257" s="4"/>
      <c r="DM1257" s="4"/>
      <c r="DN1257" s="4"/>
      <c r="DO1257" s="4"/>
      <c r="DP1257" s="4"/>
      <c r="DQ1257" s="4"/>
      <c r="DR1257" s="4"/>
      <c r="DS1257" s="4"/>
      <c r="DT1257" s="8"/>
      <c r="DU1257" s="8"/>
      <c r="DV1257" s="8"/>
      <c r="DW1257" s="8"/>
      <c r="DX1257" s="8"/>
      <c r="DY1257" s="8"/>
      <c r="DZ1257" s="4"/>
      <c r="EA1257" s="4"/>
      <c r="EB1257" s="4"/>
    </row>
    <row r="1258" spans="1:150" hidden="1">
      <c r="A1258" s="11" t="s">
        <v>9940</v>
      </c>
      <c r="B1258" s="3" t="s">
        <v>8373</v>
      </c>
      <c r="C1258" s="3">
        <v>1990</v>
      </c>
      <c r="D1258" s="3" t="s">
        <v>8605</v>
      </c>
      <c r="E1258" s="3" t="s">
        <v>8606</v>
      </c>
      <c r="F1258" s="3">
        <v>1</v>
      </c>
      <c r="G1258" s="3"/>
      <c r="H1258" s="3" t="s">
        <v>8610</v>
      </c>
      <c r="I1258" s="3"/>
      <c r="J1258" s="3"/>
      <c r="K1258" s="3" t="s">
        <v>7687</v>
      </c>
      <c r="L1258" s="4"/>
      <c r="M1258" s="3" t="s">
        <v>8607</v>
      </c>
      <c r="T1258" s="3" t="s">
        <v>8608</v>
      </c>
      <c r="V1258" s="3"/>
      <c r="W1258" s="4"/>
      <c r="X1258" s="5" t="s">
        <v>8609</v>
      </c>
      <c r="Y1258" s="5"/>
      <c r="Z1258" s="3">
        <v>1</v>
      </c>
      <c r="AA1258" s="4"/>
      <c r="AB1258" s="4"/>
      <c r="AE1258" s="3"/>
      <c r="AF1258" s="3"/>
      <c r="AG1258" s="4"/>
      <c r="AH1258" s="4"/>
      <c r="AI1258" s="4"/>
      <c r="AJ1258" s="4"/>
      <c r="AK1258" s="3"/>
      <c r="AL1258" s="3"/>
      <c r="AM1258" s="3"/>
      <c r="AN1258" s="3"/>
      <c r="AO1258" s="4"/>
      <c r="AP1258" s="3"/>
      <c r="AQ1258" s="4"/>
      <c r="AR1258" s="3"/>
      <c r="AS1258" s="3"/>
      <c r="AT1258" s="4"/>
      <c r="AU1258" s="3"/>
      <c r="AV1258" s="4"/>
      <c r="AW1258" s="4"/>
      <c r="AX1258" s="4"/>
      <c r="AY1258" s="4"/>
      <c r="AZ1258" s="4"/>
      <c r="BA1258" s="4"/>
      <c r="BB1258" s="4"/>
      <c r="BC1258" s="4"/>
      <c r="BD1258" s="4"/>
      <c r="BE1258" s="4"/>
      <c r="BF1258" s="3"/>
      <c r="BG1258" s="3"/>
      <c r="BH1258" s="3"/>
      <c r="BI1258" s="4"/>
      <c r="BJ1258" s="3"/>
      <c r="BK1258" s="4"/>
      <c r="BL1258" s="3"/>
      <c r="BM1258" s="4"/>
      <c r="BN1258" s="4"/>
      <c r="BO1258" s="4"/>
      <c r="BP1258" s="4"/>
      <c r="BQ1258" s="4"/>
      <c r="BR1258" s="4"/>
      <c r="BS1258" s="4"/>
      <c r="BT1258" s="4"/>
      <c r="BU1258" s="4"/>
      <c r="BV1258" s="4"/>
      <c r="BW1258" s="4"/>
      <c r="BX1258" s="4"/>
      <c r="BY1258" s="4"/>
      <c r="BZ1258" s="4"/>
      <c r="CA1258" s="4"/>
      <c r="CB1258" s="4"/>
      <c r="CC1258" s="4"/>
      <c r="CD1258" s="4"/>
      <c r="CE1258" s="4"/>
      <c r="CF1258" s="4"/>
      <c r="CG1258" s="4"/>
      <c r="CH1258" s="4"/>
      <c r="CI1258" s="4"/>
      <c r="CJ1258" s="4"/>
      <c r="CK1258" s="4"/>
      <c r="CL1258" s="4"/>
      <c r="CM1258" s="4"/>
      <c r="CN1258" s="4"/>
      <c r="CO1258" s="4"/>
      <c r="CP1258" s="4"/>
      <c r="CQ1258" s="4"/>
      <c r="CR1258" s="4"/>
      <c r="CS1258" s="4"/>
      <c r="CT1258" s="3"/>
      <c r="CU1258" s="3"/>
      <c r="CV1258" s="8"/>
      <c r="CW1258" s="4"/>
      <c r="CX1258" s="4"/>
      <c r="CY1258" s="4"/>
      <c r="CZ1258" s="4"/>
      <c r="DA1258" s="8"/>
      <c r="DB1258" s="8"/>
      <c r="DC1258" s="8"/>
      <c r="DD1258" s="8"/>
      <c r="DE1258" s="4"/>
      <c r="DF1258" s="4"/>
      <c r="DG1258" s="4"/>
      <c r="DH1258" s="4"/>
      <c r="DI1258" s="4"/>
      <c r="DJ1258" s="4"/>
      <c r="DK1258" s="4"/>
      <c r="DL1258" s="4"/>
      <c r="DM1258" s="4"/>
      <c r="DN1258" s="4"/>
      <c r="DO1258" s="4"/>
      <c r="DP1258" s="4"/>
      <c r="DQ1258" s="4"/>
      <c r="DR1258" s="4"/>
      <c r="DS1258" s="4"/>
      <c r="DT1258" s="4"/>
      <c r="DU1258" s="4"/>
      <c r="DV1258" s="4"/>
      <c r="DW1258" s="4"/>
      <c r="DX1258" s="4"/>
      <c r="DY1258" s="8"/>
      <c r="DZ1258" s="8"/>
      <c r="EA1258" s="8"/>
      <c r="EB1258" s="8"/>
      <c r="EC1258" s="8"/>
      <c r="ED1258" s="8"/>
      <c r="EE1258" s="4"/>
      <c r="EF1258" s="4"/>
      <c r="EG1258" s="4"/>
    </row>
    <row r="1259" spans="1:150" hidden="1">
      <c r="A1259" s="11" t="s">
        <v>9940</v>
      </c>
      <c r="B1259" s="3" t="s">
        <v>8373</v>
      </c>
      <c r="C1259" s="3">
        <v>1990</v>
      </c>
      <c r="D1259" s="3" t="s">
        <v>8611</v>
      </c>
      <c r="E1259" s="3" t="s">
        <v>8612</v>
      </c>
      <c r="F1259" s="3">
        <v>1</v>
      </c>
      <c r="G1259" s="3"/>
      <c r="H1259" s="3" t="s">
        <v>8615</v>
      </c>
      <c r="I1259" s="3"/>
      <c r="J1259" s="3"/>
      <c r="K1259" s="3" t="s">
        <v>7687</v>
      </c>
      <c r="L1259" s="4"/>
      <c r="M1259" s="3" t="s">
        <v>8607</v>
      </c>
      <c r="T1259" s="3" t="s">
        <v>8613</v>
      </c>
      <c r="V1259" s="3"/>
      <c r="W1259" s="4"/>
      <c r="X1259" s="5" t="s">
        <v>8614</v>
      </c>
      <c r="Y1259" s="5"/>
      <c r="Z1259" s="3">
        <v>1</v>
      </c>
      <c r="AA1259" s="4"/>
      <c r="AB1259" s="4"/>
      <c r="AE1259" s="3"/>
      <c r="AF1259" s="3"/>
      <c r="AG1259" s="4"/>
      <c r="AH1259" s="4"/>
      <c r="AI1259" s="4"/>
      <c r="AJ1259" s="4"/>
      <c r="AK1259" s="3"/>
      <c r="AL1259" s="3"/>
      <c r="AM1259" s="3"/>
      <c r="AN1259" s="3"/>
      <c r="AO1259" s="4"/>
      <c r="AP1259" s="3"/>
      <c r="AQ1259" s="4"/>
      <c r="AR1259" s="3"/>
      <c r="AS1259" s="3"/>
      <c r="AT1259" s="4"/>
      <c r="AU1259" s="3"/>
      <c r="AV1259" s="4"/>
      <c r="AW1259" s="4"/>
      <c r="AX1259" s="4"/>
      <c r="AY1259" s="4"/>
      <c r="AZ1259" s="4"/>
      <c r="BA1259" s="4"/>
      <c r="BB1259" s="4"/>
      <c r="BC1259" s="4"/>
      <c r="BD1259" s="4"/>
      <c r="BE1259" s="4"/>
      <c r="BF1259" s="3"/>
      <c r="BG1259" s="3"/>
      <c r="BH1259" s="3"/>
      <c r="BI1259" s="4"/>
      <c r="BJ1259" s="3"/>
      <c r="BK1259" s="4"/>
      <c r="BL1259" s="3"/>
      <c r="BM1259" s="4"/>
      <c r="BN1259" s="4"/>
      <c r="BO1259" s="4"/>
      <c r="BP1259" s="4"/>
      <c r="BQ1259" s="4"/>
      <c r="BR1259" s="4"/>
      <c r="BS1259" s="4"/>
      <c r="BT1259" s="4"/>
      <c r="BU1259" s="4"/>
      <c r="BV1259" s="4"/>
      <c r="BW1259" s="4"/>
      <c r="BX1259" s="4"/>
      <c r="BY1259" s="4"/>
      <c r="BZ1259" s="4"/>
      <c r="CA1259" s="4"/>
      <c r="CB1259" s="4"/>
      <c r="CC1259" s="4"/>
      <c r="CD1259" s="4"/>
      <c r="CE1259" s="4"/>
      <c r="CF1259" s="4"/>
      <c r="CG1259" s="4"/>
      <c r="CH1259" s="4"/>
      <c r="CI1259" s="4"/>
      <c r="CJ1259" s="4"/>
      <c r="CK1259" s="4"/>
      <c r="CL1259" s="4"/>
      <c r="CM1259" s="4"/>
      <c r="CN1259" s="4"/>
      <c r="CO1259" s="4"/>
      <c r="CP1259" s="4"/>
      <c r="CQ1259" s="4"/>
      <c r="CR1259" s="4"/>
      <c r="CS1259" s="4"/>
      <c r="CT1259" s="4"/>
      <c r="CU1259" s="4"/>
      <c r="CV1259" s="4"/>
      <c r="CW1259" s="4"/>
      <c r="CX1259" s="4"/>
      <c r="CY1259" s="4"/>
      <c r="CZ1259" s="4"/>
      <c r="DA1259" s="4"/>
      <c r="DB1259" s="4"/>
      <c r="DC1259" s="4"/>
      <c r="DD1259" s="4"/>
      <c r="DE1259" s="4"/>
      <c r="DF1259" s="4"/>
      <c r="DG1259" s="3"/>
      <c r="DH1259" s="3"/>
      <c r="DI1259" s="8"/>
      <c r="DJ1259" s="4"/>
      <c r="DK1259" s="4"/>
      <c r="DL1259" s="4"/>
      <c r="DM1259" s="4"/>
      <c r="DN1259" s="8"/>
      <c r="DO1259" s="8"/>
      <c r="DP1259" s="8"/>
      <c r="DQ1259" s="8"/>
      <c r="DR1259" s="4"/>
      <c r="DS1259" s="4"/>
      <c r="DT1259" s="4"/>
      <c r="DU1259" s="4"/>
      <c r="DV1259" s="4"/>
      <c r="DW1259" s="4"/>
      <c r="DX1259" s="4"/>
      <c r="DY1259" s="4"/>
      <c r="DZ1259" s="4"/>
      <c r="EA1259" s="4"/>
      <c r="EB1259" s="4"/>
      <c r="EC1259" s="4"/>
      <c r="ED1259" s="4"/>
      <c r="EE1259" s="4"/>
      <c r="EF1259" s="4"/>
      <c r="EG1259" s="4"/>
      <c r="EH1259" s="4"/>
      <c r="EI1259" s="4"/>
      <c r="EJ1259" s="4"/>
      <c r="EK1259" s="4"/>
      <c r="EL1259" s="8"/>
      <c r="EM1259" s="8"/>
      <c r="EN1259" s="8"/>
      <c r="EO1259" s="8"/>
      <c r="EP1259" s="8"/>
      <c r="EQ1259" s="8"/>
      <c r="ER1259" s="4"/>
      <c r="ES1259" s="4"/>
      <c r="ET1259" s="4"/>
    </row>
    <row r="1260" spans="1:150" hidden="1">
      <c r="A1260" s="11" t="s">
        <v>9940</v>
      </c>
      <c r="B1260" s="3" t="s">
        <v>8373</v>
      </c>
      <c r="C1260" s="3">
        <v>2012</v>
      </c>
      <c r="D1260" s="3" t="s">
        <v>900</v>
      </c>
      <c r="E1260" s="3" t="s">
        <v>8616</v>
      </c>
      <c r="F1260" s="3">
        <v>1</v>
      </c>
      <c r="G1260" s="3"/>
      <c r="H1260" s="3" t="s">
        <v>8618</v>
      </c>
      <c r="I1260" s="3"/>
      <c r="J1260" s="3"/>
      <c r="K1260" s="3" t="s">
        <v>901</v>
      </c>
      <c r="L1260" s="4"/>
      <c r="M1260" s="3" t="s">
        <v>8617</v>
      </c>
      <c r="T1260" s="3" t="s">
        <v>903</v>
      </c>
      <c r="V1260" s="3"/>
      <c r="W1260" s="4"/>
      <c r="X1260" s="5" t="s">
        <v>906</v>
      </c>
      <c r="Y1260" s="5"/>
      <c r="Z1260" s="3">
        <v>1</v>
      </c>
      <c r="AA1260" s="4"/>
      <c r="AB1260" s="3"/>
      <c r="AE1260" s="3"/>
      <c r="AF1260" s="3"/>
      <c r="AG1260" s="4"/>
      <c r="AH1260" s="4"/>
      <c r="AI1260" s="4"/>
      <c r="AJ1260" s="4"/>
      <c r="AK1260" s="3"/>
      <c r="AL1260" s="3"/>
      <c r="AM1260" s="3"/>
      <c r="AN1260" s="3"/>
      <c r="AO1260" s="4"/>
      <c r="AP1260" s="3"/>
      <c r="AQ1260" s="4"/>
      <c r="AR1260" s="3"/>
      <c r="AS1260" s="3"/>
      <c r="AT1260" s="4"/>
      <c r="AU1260" s="3"/>
      <c r="AV1260" s="4"/>
      <c r="AW1260" s="4"/>
      <c r="AX1260" s="4"/>
      <c r="AY1260" s="4"/>
      <c r="AZ1260" s="4"/>
      <c r="BA1260" s="4"/>
      <c r="BB1260" s="4"/>
      <c r="BC1260" s="4"/>
      <c r="BD1260" s="4"/>
      <c r="BE1260" s="4"/>
      <c r="BF1260" s="3"/>
      <c r="BG1260" s="3"/>
      <c r="BH1260" s="3"/>
      <c r="BI1260" s="4"/>
      <c r="BJ1260" s="3"/>
      <c r="BK1260" s="4"/>
      <c r="BL1260" s="4"/>
      <c r="BM1260" s="3"/>
      <c r="BN1260" s="4"/>
      <c r="BO1260" s="4"/>
      <c r="BP1260" s="4"/>
      <c r="BQ1260" s="4"/>
      <c r="BR1260" s="4"/>
      <c r="BS1260" s="4"/>
      <c r="BT1260" s="4"/>
      <c r="BU1260" s="4"/>
      <c r="BV1260" s="4"/>
      <c r="BW1260" s="4"/>
      <c r="BX1260" s="4"/>
      <c r="BY1260" s="4"/>
      <c r="BZ1260" s="4"/>
      <c r="CA1260" s="4"/>
      <c r="CB1260" s="4"/>
      <c r="CC1260" s="4"/>
      <c r="CD1260" s="4"/>
      <c r="CE1260" s="4"/>
      <c r="CF1260" s="4"/>
      <c r="CG1260" s="4"/>
      <c r="CH1260" s="4"/>
      <c r="CI1260" s="4"/>
      <c r="CJ1260" s="4"/>
      <c r="CK1260" s="4"/>
      <c r="CL1260" s="4"/>
      <c r="CM1260" s="4"/>
      <c r="CN1260" s="4"/>
      <c r="CO1260" s="4"/>
      <c r="CP1260" s="4"/>
      <c r="CQ1260" s="4"/>
      <c r="CR1260" s="4"/>
      <c r="CS1260" s="4"/>
      <c r="CT1260" s="4"/>
      <c r="CU1260" s="4"/>
      <c r="CV1260" s="4"/>
      <c r="CW1260" s="4"/>
      <c r="CX1260" s="4"/>
      <c r="CY1260" s="4"/>
      <c r="CZ1260" s="4"/>
      <c r="DA1260" s="4"/>
      <c r="DB1260" s="3"/>
      <c r="DC1260" s="3"/>
      <c r="DD1260" s="8"/>
      <c r="DE1260" s="4"/>
      <c r="DF1260" s="4"/>
      <c r="DG1260" s="4"/>
      <c r="DH1260" s="4"/>
      <c r="DI1260" s="8"/>
      <c r="DJ1260" s="8"/>
      <c r="DK1260" s="8"/>
      <c r="DL1260" s="8"/>
      <c r="DM1260" s="4"/>
      <c r="DN1260" s="4"/>
      <c r="DO1260" s="4"/>
      <c r="DP1260" s="4"/>
      <c r="DQ1260" s="4"/>
      <c r="DR1260" s="4"/>
      <c r="DS1260" s="4"/>
      <c r="DT1260" s="4"/>
      <c r="DU1260" s="4"/>
      <c r="DV1260" s="4"/>
      <c r="DW1260" s="4"/>
      <c r="DX1260" s="4"/>
      <c r="DY1260" s="4"/>
      <c r="DZ1260" s="4"/>
      <c r="EA1260" s="4"/>
      <c r="EB1260" s="4"/>
      <c r="EC1260" s="4"/>
      <c r="ED1260" s="4"/>
      <c r="EE1260" s="4"/>
      <c r="EF1260" s="4"/>
      <c r="EG1260" s="8"/>
      <c r="EH1260" s="8"/>
      <c r="EI1260" s="8"/>
      <c r="EJ1260" s="8"/>
      <c r="EK1260" s="8"/>
      <c r="EL1260" s="8"/>
      <c r="EM1260" s="4"/>
      <c r="EN1260" s="4"/>
      <c r="EO1260" s="4"/>
    </row>
    <row r="1261" spans="1:150" hidden="1">
      <c r="A1261" s="11" t="s">
        <v>9940</v>
      </c>
      <c r="B1261" s="3" t="s">
        <v>8373</v>
      </c>
      <c r="C1261" s="3">
        <v>2019</v>
      </c>
      <c r="D1261" s="3" t="s">
        <v>5076</v>
      </c>
      <c r="E1261" s="3" t="s">
        <v>9370</v>
      </c>
      <c r="F1261" s="3">
        <v>0</v>
      </c>
      <c r="G1261" s="3" t="s">
        <v>9265</v>
      </c>
      <c r="H1261" s="3" t="s">
        <v>9372</v>
      </c>
      <c r="I1261" s="3"/>
      <c r="J1261" s="3"/>
      <c r="K1261" s="3" t="s">
        <v>5077</v>
      </c>
      <c r="L1261" s="4"/>
      <c r="M1261" s="3" t="s">
        <v>9371</v>
      </c>
      <c r="T1261" s="3" t="s">
        <v>5079</v>
      </c>
      <c r="V1261" s="4"/>
      <c r="W1261" s="4"/>
      <c r="X1261" s="5" t="s">
        <v>5082</v>
      </c>
      <c r="Y1261" s="5"/>
      <c r="Z1261" s="4"/>
      <c r="AA1261" s="4"/>
      <c r="AB1261" s="4"/>
      <c r="AE1261" s="4"/>
      <c r="AF1261" s="4"/>
      <c r="AG1261" s="3"/>
      <c r="AH1261" s="3"/>
      <c r="AI1261" s="3"/>
      <c r="AJ1261" s="3"/>
      <c r="AK1261" s="4"/>
      <c r="AL1261" s="3"/>
      <c r="AM1261" s="4"/>
      <c r="AN1261" s="3"/>
      <c r="AO1261" s="3"/>
      <c r="AP1261" s="4"/>
      <c r="AQ1261" s="3"/>
      <c r="AR1261" s="4"/>
      <c r="AS1261" s="4"/>
      <c r="AT1261" s="4"/>
      <c r="AU1261" s="4"/>
      <c r="AV1261" s="4"/>
      <c r="AW1261" s="4"/>
      <c r="AX1261" s="4"/>
      <c r="AY1261" s="4"/>
      <c r="AZ1261" s="4"/>
      <c r="BA1261" s="4"/>
      <c r="BB1261" s="3"/>
      <c r="BC1261" s="3"/>
      <c r="BD1261" s="3"/>
      <c r="BE1261" s="4"/>
      <c r="BF1261" s="3"/>
      <c r="BG1261" s="4"/>
      <c r="BH1261" s="4"/>
      <c r="BI1261" s="3"/>
      <c r="BJ1261" s="4"/>
      <c r="BK1261" s="4"/>
      <c r="BL1261" s="4"/>
      <c r="BM1261" s="4"/>
      <c r="BN1261" s="4"/>
      <c r="BO1261" s="4"/>
      <c r="BP1261" s="4"/>
      <c r="BQ1261" s="4"/>
      <c r="BR1261" s="4"/>
      <c r="BS1261" s="4"/>
      <c r="BT1261" s="4"/>
      <c r="BU1261" s="4"/>
      <c r="BV1261" s="4"/>
      <c r="BW1261" s="4"/>
      <c r="BX1261" s="4"/>
      <c r="BY1261" s="4"/>
      <c r="BZ1261" s="4"/>
      <c r="CA1261" s="4"/>
      <c r="CB1261" s="4"/>
      <c r="CC1261" s="4"/>
      <c r="CD1261" s="4"/>
      <c r="CE1261" s="4"/>
      <c r="CF1261" s="4"/>
      <c r="CG1261" s="4"/>
      <c r="CH1261" s="4"/>
      <c r="CI1261" s="4"/>
      <c r="CJ1261" s="4"/>
      <c r="CK1261" s="4"/>
      <c r="CL1261" s="4"/>
      <c r="CM1261" s="4"/>
      <c r="CN1261" s="4"/>
      <c r="CO1261" s="4"/>
      <c r="CP1261" s="4"/>
      <c r="CQ1261" s="4"/>
      <c r="CR1261" s="4"/>
      <c r="CS1261" s="4"/>
      <c r="CT1261" s="4"/>
      <c r="CU1261" s="4"/>
      <c r="CV1261" s="4"/>
      <c r="CW1261" s="4"/>
      <c r="CX1261" s="4"/>
      <c r="CY1261" s="3"/>
      <c r="CZ1261" s="3"/>
      <c r="DA1261" s="4"/>
      <c r="DB1261" s="4"/>
      <c r="DC1261" s="4"/>
      <c r="DD1261" s="4"/>
      <c r="DE1261" s="4"/>
      <c r="DF1261" s="4"/>
      <c r="DG1261" s="4"/>
      <c r="DH1261" s="4"/>
      <c r="DI1261" s="4"/>
      <c r="DJ1261" s="4"/>
      <c r="DK1261" s="4"/>
      <c r="DL1261" s="4"/>
      <c r="DM1261" s="4"/>
      <c r="DN1261" s="4"/>
      <c r="DO1261" s="4"/>
      <c r="DP1261" s="4"/>
      <c r="DQ1261" s="4"/>
      <c r="DR1261" s="4"/>
      <c r="DS1261" s="4"/>
      <c r="DT1261" s="4"/>
      <c r="DU1261" s="4"/>
      <c r="DV1261" s="4"/>
      <c r="DW1261" s="4"/>
      <c r="DX1261" s="4"/>
      <c r="DY1261" s="4"/>
      <c r="DZ1261" s="4"/>
      <c r="EA1261" s="4"/>
      <c r="EB1261" s="4"/>
      <c r="EC1261" s="4"/>
      <c r="ED1261" s="4"/>
      <c r="EE1261" s="4"/>
      <c r="EF1261" s="4"/>
      <c r="EG1261" s="4"/>
      <c r="EH1261" s="4"/>
      <c r="EI1261" s="4"/>
      <c r="EJ1261" s="4"/>
      <c r="EK1261" s="4"/>
      <c r="EL1261" s="4"/>
    </row>
    <row r="1262" spans="1:150" hidden="1">
      <c r="A1262" s="11" t="s">
        <v>9940</v>
      </c>
      <c r="B1262" s="3" t="s">
        <v>8373</v>
      </c>
      <c r="C1262" s="3">
        <v>2016</v>
      </c>
      <c r="D1262" s="3" t="s">
        <v>8619</v>
      </c>
      <c r="E1262" s="3" t="s">
        <v>8620</v>
      </c>
      <c r="F1262" s="3">
        <v>1</v>
      </c>
      <c r="G1262" s="3"/>
      <c r="H1262" s="3" t="s">
        <v>814</v>
      </c>
      <c r="I1262" s="3"/>
      <c r="J1262" s="3"/>
      <c r="K1262" s="3" t="s">
        <v>810</v>
      </c>
      <c r="L1262" s="4"/>
      <c r="M1262" s="3" t="s">
        <v>8454</v>
      </c>
      <c r="T1262" s="3" t="s">
        <v>812</v>
      </c>
      <c r="V1262" s="3"/>
      <c r="W1262" s="4"/>
      <c r="X1262" s="5" t="s">
        <v>815</v>
      </c>
      <c r="Y1262" s="5"/>
      <c r="Z1262" s="3">
        <v>1</v>
      </c>
      <c r="AA1262" s="4"/>
      <c r="AB1262" s="3"/>
      <c r="AE1262" s="3"/>
      <c r="AF1262" s="3"/>
      <c r="AG1262" s="4"/>
      <c r="AH1262" s="4"/>
      <c r="AI1262" s="4"/>
      <c r="AJ1262" s="4"/>
      <c r="AK1262" s="3"/>
      <c r="AL1262" s="3"/>
      <c r="AM1262" s="3"/>
      <c r="AN1262" s="3"/>
      <c r="AO1262" s="4"/>
      <c r="AP1262" s="3"/>
      <c r="AQ1262" s="4"/>
      <c r="AR1262" s="3"/>
      <c r="AS1262" s="3"/>
      <c r="AT1262" s="4"/>
      <c r="AU1262" s="3"/>
      <c r="AV1262" s="4"/>
      <c r="AW1262" s="4"/>
      <c r="AX1262" s="4"/>
      <c r="AY1262" s="4"/>
      <c r="AZ1262" s="4"/>
      <c r="BA1262" s="4"/>
      <c r="BB1262" s="4"/>
      <c r="BC1262" s="4"/>
      <c r="BD1262" s="4"/>
      <c r="BE1262" s="4"/>
      <c r="BF1262" s="3"/>
      <c r="BG1262" s="3"/>
      <c r="BH1262" s="3"/>
      <c r="BI1262" s="4"/>
      <c r="BJ1262" s="3"/>
      <c r="BK1262" s="4"/>
      <c r="BL1262" s="4"/>
      <c r="BM1262" s="3"/>
      <c r="BN1262" s="4"/>
      <c r="BO1262" s="4"/>
      <c r="BP1262" s="4"/>
      <c r="BQ1262" s="4"/>
      <c r="BR1262" s="4"/>
      <c r="BS1262" s="4"/>
      <c r="BT1262" s="4"/>
      <c r="BU1262" s="4"/>
      <c r="BV1262" s="4"/>
      <c r="BW1262" s="4"/>
      <c r="BX1262" s="4"/>
      <c r="BY1262" s="4"/>
      <c r="BZ1262" s="4"/>
      <c r="CA1262" s="4"/>
      <c r="CB1262" s="4"/>
      <c r="CC1262" s="4"/>
      <c r="CD1262" s="4"/>
      <c r="CE1262" s="4"/>
      <c r="CF1262" s="4"/>
      <c r="CG1262" s="4"/>
      <c r="CH1262" s="4"/>
      <c r="CI1262" s="4"/>
      <c r="CJ1262" s="4"/>
      <c r="CK1262" s="4"/>
      <c r="CL1262" s="4"/>
      <c r="CM1262" s="4"/>
      <c r="CN1262" s="4"/>
      <c r="CO1262" s="4"/>
      <c r="CP1262" s="4"/>
      <c r="CQ1262" s="4"/>
      <c r="CR1262" s="4"/>
      <c r="CS1262" s="4"/>
      <c r="CT1262" s="4"/>
      <c r="CU1262" s="4"/>
      <c r="CV1262" s="4"/>
      <c r="CW1262" s="4"/>
      <c r="CX1262" s="4"/>
      <c r="CY1262" s="4"/>
      <c r="CZ1262" s="4"/>
      <c r="DA1262" s="4"/>
      <c r="DB1262" s="4"/>
      <c r="DC1262" s="4"/>
      <c r="DD1262" s="3"/>
      <c r="DE1262" s="3"/>
      <c r="DF1262" s="8"/>
      <c r="DG1262" s="4"/>
      <c r="DH1262" s="4"/>
      <c r="DI1262" s="4"/>
      <c r="DJ1262" s="4"/>
      <c r="DK1262" s="8"/>
      <c r="DL1262" s="8"/>
      <c r="DM1262" s="8"/>
      <c r="DN1262" s="8"/>
      <c r="DO1262" s="4"/>
      <c r="DP1262" s="4"/>
      <c r="DQ1262" s="4"/>
      <c r="DR1262" s="4"/>
      <c r="DS1262" s="4"/>
      <c r="DT1262" s="4"/>
      <c r="DU1262" s="4"/>
      <c r="DV1262" s="4"/>
      <c r="DW1262" s="4"/>
      <c r="DX1262" s="4"/>
      <c r="DY1262" s="4"/>
      <c r="DZ1262" s="4"/>
      <c r="EA1262" s="4"/>
      <c r="EB1262" s="4"/>
      <c r="EC1262" s="4"/>
      <c r="ED1262" s="4"/>
      <c r="EE1262" s="4"/>
      <c r="EF1262" s="4"/>
      <c r="EG1262" s="4"/>
      <c r="EH1262" s="4"/>
      <c r="EI1262" s="8"/>
      <c r="EJ1262" s="8"/>
      <c r="EK1262" s="8"/>
      <c r="EL1262" s="8"/>
      <c r="EM1262" s="8"/>
      <c r="EN1262" s="8"/>
      <c r="EO1262" s="4"/>
      <c r="EP1262" s="4"/>
      <c r="EQ1262" s="4"/>
    </row>
    <row r="1263" spans="1:150" hidden="1">
      <c r="A1263" s="11" t="s">
        <v>9940</v>
      </c>
      <c r="B1263" s="3" t="s">
        <v>8379</v>
      </c>
      <c r="C1263" s="3">
        <v>2015</v>
      </c>
      <c r="D1263" s="3" t="s">
        <v>2555</v>
      </c>
      <c r="E1263" s="3" t="s">
        <v>9373</v>
      </c>
      <c r="F1263" s="3">
        <v>1</v>
      </c>
      <c r="G1263" s="4"/>
      <c r="H1263" s="3" t="s">
        <v>2559</v>
      </c>
      <c r="I1263" s="3"/>
      <c r="J1263" s="3"/>
      <c r="K1263" s="4"/>
      <c r="L1263" s="4"/>
      <c r="M1263" s="4"/>
      <c r="T1263" s="4"/>
      <c r="V1263" s="3"/>
      <c r="W1263" s="3"/>
      <c r="X1263" s="5" t="s">
        <v>2560</v>
      </c>
      <c r="Y1263" s="5"/>
      <c r="Z1263" s="3">
        <v>0</v>
      </c>
      <c r="AA1263" s="3" t="s">
        <v>9178</v>
      </c>
      <c r="AB1263" s="4"/>
      <c r="AE1263" s="3"/>
      <c r="AF1263" s="4"/>
      <c r="AG1263" s="4"/>
      <c r="AH1263" s="4"/>
      <c r="AI1263" s="4"/>
      <c r="AJ1263" s="4"/>
      <c r="AK1263" s="3"/>
      <c r="AL1263" s="3"/>
      <c r="AM1263" s="3"/>
      <c r="AN1263" s="3"/>
      <c r="AO1263" s="4"/>
      <c r="AP1263" s="4"/>
      <c r="AQ1263" s="4"/>
      <c r="AR1263" s="4"/>
      <c r="AS1263" s="4"/>
      <c r="AT1263" s="4"/>
      <c r="AU1263" s="4"/>
      <c r="AV1263" s="4"/>
      <c r="AW1263" s="4"/>
      <c r="AX1263" s="4"/>
      <c r="AY1263" s="4"/>
      <c r="AZ1263" s="4"/>
      <c r="BA1263" s="3"/>
      <c r="BB1263" s="4"/>
      <c r="BC1263" s="3"/>
      <c r="BD1263" s="3"/>
      <c r="BE1263" s="3"/>
      <c r="BF1263" s="4"/>
      <c r="BG1263" s="3"/>
      <c r="BH1263" s="3"/>
      <c r="BI1263" s="4"/>
      <c r="BJ1263" s="4"/>
      <c r="BK1263" s="4"/>
      <c r="BL1263" s="4"/>
      <c r="BM1263" s="4"/>
      <c r="BN1263" s="4"/>
      <c r="BO1263" s="4"/>
      <c r="BP1263" s="4"/>
      <c r="BQ1263" s="4"/>
      <c r="BR1263" s="4"/>
      <c r="BS1263" s="4"/>
      <c r="BT1263" s="4"/>
      <c r="BU1263" s="4"/>
      <c r="BV1263" s="4"/>
      <c r="BW1263" s="4"/>
      <c r="BX1263" s="4"/>
      <c r="BY1263" s="4"/>
      <c r="BZ1263" s="4"/>
      <c r="CA1263" s="4"/>
      <c r="CB1263" s="4"/>
      <c r="CC1263" s="4"/>
      <c r="CD1263" s="4"/>
      <c r="CE1263" s="4"/>
      <c r="CF1263" s="4"/>
      <c r="CG1263" s="4"/>
      <c r="CH1263" s="4"/>
      <c r="CI1263" s="4"/>
      <c r="CJ1263" s="4"/>
      <c r="CK1263" s="4"/>
      <c r="CL1263" s="4"/>
      <c r="CM1263" s="4"/>
      <c r="CN1263" s="4"/>
      <c r="CO1263" s="4"/>
      <c r="CP1263" s="4"/>
      <c r="CQ1263" s="4"/>
      <c r="CR1263" s="4"/>
      <c r="CS1263" s="4"/>
      <c r="CT1263" s="4"/>
      <c r="CU1263" s="4"/>
      <c r="CV1263" s="4"/>
      <c r="CW1263" s="4"/>
      <c r="CX1263" s="4"/>
      <c r="CY1263" s="3"/>
      <c r="CZ1263" s="3"/>
      <c r="DA1263" s="4"/>
      <c r="DB1263" s="4"/>
      <c r="DC1263" s="4"/>
      <c r="DD1263" s="4"/>
      <c r="DE1263" s="4"/>
      <c r="DF1263" s="4"/>
      <c r="DG1263" s="4"/>
      <c r="DH1263" s="4"/>
      <c r="DI1263" s="4"/>
      <c r="DJ1263" s="4"/>
      <c r="DK1263" s="4"/>
      <c r="DL1263" s="4"/>
      <c r="DM1263" s="4"/>
      <c r="DN1263" s="4"/>
      <c r="DO1263" s="4"/>
      <c r="DP1263" s="4"/>
      <c r="DQ1263" s="4"/>
      <c r="DR1263" s="4"/>
      <c r="DS1263" s="4"/>
      <c r="DT1263" s="4"/>
      <c r="DU1263" s="4"/>
      <c r="DV1263" s="4"/>
      <c r="DW1263" s="4"/>
      <c r="DX1263" s="4"/>
      <c r="DY1263" s="4"/>
      <c r="DZ1263" s="4"/>
      <c r="EA1263" s="4"/>
      <c r="EB1263" s="4"/>
      <c r="EC1263" s="4"/>
      <c r="ED1263" s="4"/>
      <c r="EE1263" s="4"/>
      <c r="EF1263" s="4"/>
      <c r="EG1263" s="4"/>
      <c r="EH1263" s="4"/>
      <c r="EI1263" s="4"/>
      <c r="EJ1263" s="4"/>
      <c r="EK1263" s="4"/>
      <c r="EL1263" s="4"/>
    </row>
    <row r="1264" spans="1:150" hidden="1">
      <c r="A1264" s="11" t="s">
        <v>9940</v>
      </c>
      <c r="B1264" s="3" t="s">
        <v>8373</v>
      </c>
      <c r="C1264" s="3">
        <v>2008</v>
      </c>
      <c r="D1264" s="3" t="s">
        <v>8621</v>
      </c>
      <c r="E1264" s="3" t="s">
        <v>8622</v>
      </c>
      <c r="F1264" s="3">
        <v>1</v>
      </c>
      <c r="G1264" s="3"/>
      <c r="H1264" s="3" t="s">
        <v>8625</v>
      </c>
      <c r="I1264" s="3"/>
      <c r="J1264" s="3"/>
      <c r="K1264" s="3" t="s">
        <v>6614</v>
      </c>
      <c r="L1264" s="3"/>
      <c r="M1264" s="3">
        <v>17901391</v>
      </c>
      <c r="T1264" s="3" t="s">
        <v>8623</v>
      </c>
      <c r="V1264" s="3"/>
      <c r="W1264" s="4"/>
      <c r="X1264" s="5" t="s">
        <v>8624</v>
      </c>
      <c r="Y1264" s="5"/>
      <c r="Z1264" s="3">
        <v>1</v>
      </c>
      <c r="AA1264" s="4"/>
      <c r="AB1264" s="3"/>
      <c r="AE1264" s="3"/>
      <c r="AF1264" s="3"/>
      <c r="AG1264" s="4"/>
      <c r="AH1264" s="4"/>
      <c r="AI1264" s="4"/>
      <c r="AJ1264" s="4"/>
      <c r="AK1264" s="3"/>
      <c r="AL1264" s="3"/>
      <c r="AM1264" s="3"/>
      <c r="AN1264" s="3"/>
      <c r="AO1264" s="4"/>
      <c r="AP1264" s="3"/>
      <c r="AQ1264" s="4"/>
      <c r="AR1264" s="3"/>
      <c r="AS1264" s="3"/>
      <c r="AT1264" s="4"/>
      <c r="AU1264" s="3"/>
      <c r="AV1264" s="4"/>
      <c r="AW1264" s="4"/>
      <c r="AX1264" s="4"/>
      <c r="AY1264" s="4"/>
      <c r="AZ1264" s="4"/>
      <c r="BA1264" s="4"/>
      <c r="BB1264" s="4"/>
      <c r="BC1264" s="4"/>
      <c r="BD1264" s="4"/>
      <c r="BE1264" s="4"/>
      <c r="BF1264" s="3"/>
      <c r="BG1264" s="3"/>
      <c r="BH1264" s="3"/>
      <c r="BI1264" s="4"/>
      <c r="BJ1264" s="3"/>
      <c r="BK1264" s="4"/>
      <c r="BL1264" s="4"/>
      <c r="BM1264" s="3"/>
      <c r="BN1264" s="4"/>
      <c r="BO1264" s="4"/>
      <c r="BP1264" s="4"/>
      <c r="BQ1264" s="4"/>
      <c r="BR1264" s="4"/>
      <c r="BS1264" s="4"/>
      <c r="BT1264" s="4"/>
      <c r="BU1264" s="4"/>
      <c r="BV1264" s="4"/>
      <c r="BW1264" s="4"/>
      <c r="BX1264" s="4"/>
      <c r="BY1264" s="4"/>
      <c r="BZ1264" s="4"/>
      <c r="CA1264" s="4"/>
      <c r="CB1264" s="4"/>
      <c r="CC1264" s="4"/>
      <c r="CD1264" s="4"/>
      <c r="CE1264" s="4"/>
      <c r="CF1264" s="4"/>
      <c r="CG1264" s="4"/>
      <c r="CH1264" s="4"/>
      <c r="CI1264" s="4"/>
      <c r="CJ1264" s="4"/>
      <c r="CK1264" s="4"/>
      <c r="CL1264" s="4"/>
      <c r="CM1264" s="4"/>
      <c r="CN1264" s="4"/>
      <c r="CO1264" s="4"/>
      <c r="CP1264" s="4"/>
      <c r="CQ1264" s="4"/>
      <c r="CR1264" s="4"/>
      <c r="CS1264" s="4"/>
      <c r="CT1264" s="4"/>
      <c r="CU1264" s="4"/>
      <c r="CV1264" s="4"/>
      <c r="CW1264" s="4"/>
      <c r="CX1264" s="4"/>
      <c r="CY1264" s="4"/>
      <c r="CZ1264" s="4"/>
      <c r="DA1264" s="4"/>
      <c r="DB1264" s="3"/>
      <c r="DC1264" s="3"/>
      <c r="DD1264" s="8"/>
      <c r="DE1264" s="4"/>
      <c r="DF1264" s="4"/>
      <c r="DG1264" s="4"/>
      <c r="DH1264" s="4"/>
      <c r="DI1264" s="8"/>
      <c r="DJ1264" s="8"/>
      <c r="DK1264" s="8"/>
      <c r="DL1264" s="8"/>
      <c r="DM1264" s="4"/>
      <c r="DN1264" s="4"/>
      <c r="DO1264" s="4"/>
      <c r="DP1264" s="4"/>
      <c r="DQ1264" s="4"/>
      <c r="DR1264" s="4"/>
      <c r="DS1264" s="4"/>
      <c r="DT1264" s="4"/>
      <c r="DU1264" s="4"/>
      <c r="DV1264" s="4"/>
      <c r="DW1264" s="4"/>
      <c r="DX1264" s="4"/>
      <c r="DY1264" s="4"/>
      <c r="DZ1264" s="4"/>
      <c r="EA1264" s="4"/>
      <c r="EB1264" s="4"/>
      <c r="EC1264" s="4"/>
      <c r="ED1264" s="4"/>
      <c r="EE1264" s="4"/>
      <c r="EF1264" s="4"/>
      <c r="EG1264" s="8"/>
      <c r="EH1264" s="8"/>
      <c r="EI1264" s="8"/>
      <c r="EJ1264" s="8"/>
      <c r="EK1264" s="8"/>
      <c r="EL1264" s="8"/>
      <c r="EM1264" s="4"/>
      <c r="EN1264" s="4"/>
      <c r="EO1264" s="4"/>
    </row>
    <row r="1265" spans="1:152" hidden="1">
      <c r="A1265" s="11" t="s">
        <v>9940</v>
      </c>
      <c r="B1265" s="3" t="s">
        <v>8373</v>
      </c>
      <c r="C1265" s="3">
        <v>2018</v>
      </c>
      <c r="D1265" s="3" t="s">
        <v>8626</v>
      </c>
      <c r="E1265" s="3" t="s">
        <v>8627</v>
      </c>
      <c r="F1265" s="3">
        <v>1</v>
      </c>
      <c r="G1265" s="3"/>
      <c r="H1265" s="3" t="s">
        <v>8631</v>
      </c>
      <c r="I1265" s="3"/>
      <c r="J1265" s="3"/>
      <c r="K1265" s="3" t="s">
        <v>2336</v>
      </c>
      <c r="L1265" s="4"/>
      <c r="M1265" s="3" t="s">
        <v>8628</v>
      </c>
      <c r="T1265" s="3" t="s">
        <v>8629</v>
      </c>
      <c r="V1265" s="3"/>
      <c r="W1265" s="4"/>
      <c r="X1265" s="5" t="s">
        <v>8630</v>
      </c>
      <c r="Y1265" s="5"/>
      <c r="Z1265" s="3">
        <v>1</v>
      </c>
      <c r="AA1265" s="4"/>
      <c r="AB1265" s="4"/>
      <c r="AE1265" s="3"/>
      <c r="AF1265" s="3"/>
      <c r="AG1265" s="4"/>
      <c r="AH1265" s="4"/>
      <c r="AI1265" s="4"/>
      <c r="AJ1265" s="4"/>
      <c r="AK1265" s="3"/>
      <c r="AL1265" s="7"/>
      <c r="AM1265" s="3"/>
      <c r="AN1265" s="3"/>
      <c r="AO1265" s="4"/>
      <c r="AP1265" s="4"/>
      <c r="AQ1265" s="4"/>
      <c r="AR1265" s="4"/>
      <c r="AS1265" s="4"/>
      <c r="AT1265" s="4"/>
      <c r="AU1265" s="3"/>
      <c r="AV1265" s="4"/>
      <c r="AW1265" s="4"/>
      <c r="AX1265" s="4"/>
      <c r="AY1265" s="4"/>
      <c r="AZ1265" s="4"/>
      <c r="BA1265" s="4"/>
      <c r="BB1265" s="4"/>
      <c r="BC1265" s="4"/>
      <c r="BD1265" s="4"/>
      <c r="BE1265" s="4"/>
      <c r="BF1265" s="3"/>
      <c r="BG1265" s="3"/>
      <c r="BH1265" s="3"/>
      <c r="BI1265" s="4"/>
      <c r="BJ1265" s="3"/>
      <c r="BK1265" s="4"/>
      <c r="BL1265" s="4"/>
      <c r="BM1265" s="4"/>
      <c r="BN1265" s="3"/>
      <c r="BO1265" s="4"/>
      <c r="BP1265" s="4"/>
      <c r="BQ1265" s="4"/>
      <c r="BR1265" s="4"/>
      <c r="BS1265" s="4"/>
      <c r="BT1265" s="4"/>
      <c r="BU1265" s="4"/>
      <c r="BV1265" s="4"/>
      <c r="BW1265" s="4"/>
      <c r="BX1265" s="4"/>
      <c r="BY1265" s="4"/>
      <c r="BZ1265" s="4"/>
      <c r="CA1265" s="4"/>
      <c r="CB1265" s="4"/>
      <c r="CC1265" s="4"/>
      <c r="CD1265" s="4"/>
      <c r="CE1265" s="4"/>
      <c r="CF1265" s="4"/>
      <c r="CG1265" s="4"/>
      <c r="CH1265" s="4"/>
      <c r="CI1265" s="4"/>
      <c r="CJ1265" s="4"/>
      <c r="CK1265" s="4"/>
      <c r="CL1265" s="4"/>
      <c r="CM1265" s="4"/>
      <c r="CN1265" s="4"/>
      <c r="CO1265" s="4"/>
      <c r="CP1265" s="4"/>
      <c r="CQ1265" s="4"/>
      <c r="CR1265" s="4"/>
      <c r="CS1265" s="4"/>
      <c r="CT1265" s="4"/>
      <c r="CU1265" s="4"/>
      <c r="CV1265" s="4"/>
      <c r="CW1265" s="4"/>
      <c r="CX1265" s="4"/>
      <c r="CY1265" s="4"/>
      <c r="CZ1265" s="4"/>
      <c r="DA1265" s="4"/>
      <c r="DB1265" s="4"/>
      <c r="DC1265" s="4"/>
      <c r="DD1265" s="4"/>
      <c r="DE1265" s="4"/>
      <c r="DF1265" s="4"/>
      <c r="DG1265" s="4"/>
      <c r="DH1265" s="4"/>
      <c r="DI1265" s="3"/>
      <c r="DJ1265" s="3"/>
      <c r="DK1265" s="8"/>
      <c r="DL1265" s="4"/>
      <c r="DM1265" s="4"/>
      <c r="DN1265" s="4"/>
      <c r="DO1265" s="4"/>
      <c r="DP1265" s="8"/>
      <c r="DQ1265" s="8"/>
      <c r="DR1265" s="8"/>
      <c r="DS1265" s="8"/>
      <c r="DT1265" s="4"/>
      <c r="DU1265" s="4"/>
      <c r="DV1265" s="4"/>
      <c r="DW1265" s="4"/>
      <c r="DX1265" s="4"/>
      <c r="DY1265" s="4"/>
      <c r="DZ1265" s="4"/>
      <c r="EA1265" s="4"/>
      <c r="EB1265" s="4"/>
      <c r="EC1265" s="4"/>
      <c r="ED1265" s="4"/>
      <c r="EE1265" s="4"/>
      <c r="EF1265" s="4"/>
      <c r="EG1265" s="4"/>
      <c r="EH1265" s="4"/>
      <c r="EI1265" s="4"/>
      <c r="EJ1265" s="4"/>
      <c r="EK1265" s="4"/>
      <c r="EL1265" s="4"/>
      <c r="EM1265" s="4"/>
      <c r="EN1265" s="8"/>
      <c r="EO1265" s="8"/>
      <c r="EP1265" s="8"/>
      <c r="EQ1265" s="8"/>
      <c r="ER1265" s="8"/>
      <c r="ES1265" s="8"/>
      <c r="ET1265" s="4"/>
      <c r="EU1265" s="4"/>
      <c r="EV1265" s="4"/>
    </row>
    <row r="1266" spans="1:152" hidden="1">
      <c r="A1266" s="11" t="s">
        <v>9940</v>
      </c>
      <c r="B1266" s="3" t="s">
        <v>8373</v>
      </c>
      <c r="C1266" s="3">
        <v>2019</v>
      </c>
      <c r="D1266" s="3" t="s">
        <v>8632</v>
      </c>
      <c r="E1266" s="3" t="s">
        <v>1902</v>
      </c>
      <c r="F1266" s="3">
        <v>1</v>
      </c>
      <c r="G1266" s="3"/>
      <c r="H1266" s="3" t="s">
        <v>8633</v>
      </c>
      <c r="I1266" s="3"/>
      <c r="J1266" s="3"/>
      <c r="K1266" s="3" t="s">
        <v>970</v>
      </c>
      <c r="L1266" s="4"/>
      <c r="M1266" s="3" t="s">
        <v>8411</v>
      </c>
      <c r="T1266" s="3" t="s">
        <v>1905</v>
      </c>
      <c r="V1266" s="3"/>
      <c r="W1266" s="4"/>
      <c r="X1266" s="5" t="s">
        <v>1908</v>
      </c>
      <c r="Y1266" s="5"/>
      <c r="Z1266" s="3">
        <v>1</v>
      </c>
      <c r="AA1266" s="4"/>
      <c r="AB1266" s="4"/>
      <c r="AE1266" s="3"/>
      <c r="AF1266" s="3"/>
      <c r="AG1266" s="4"/>
      <c r="AH1266" s="4"/>
      <c r="AI1266" s="4"/>
      <c r="AJ1266" s="4"/>
      <c r="AK1266" s="3"/>
      <c r="AL1266" s="7"/>
      <c r="AM1266" s="3"/>
      <c r="AN1266" s="3"/>
      <c r="AO1266" s="4"/>
      <c r="AP1266" s="4"/>
      <c r="AQ1266" s="4"/>
      <c r="AR1266" s="4"/>
      <c r="AS1266" s="4"/>
      <c r="AT1266" s="4"/>
      <c r="AU1266" s="3"/>
      <c r="AV1266" s="4"/>
      <c r="AW1266" s="4"/>
      <c r="AX1266" s="4"/>
      <c r="AY1266" s="4"/>
      <c r="AZ1266" s="4"/>
      <c r="BA1266" s="4"/>
      <c r="BB1266" s="4"/>
      <c r="BC1266" s="4"/>
      <c r="BD1266" s="4"/>
      <c r="BE1266" s="4"/>
      <c r="BF1266" s="3"/>
      <c r="BG1266" s="3"/>
      <c r="BH1266" s="3"/>
      <c r="BI1266" s="4"/>
      <c r="BJ1266" s="3"/>
      <c r="BK1266" s="4"/>
      <c r="BL1266" s="3"/>
      <c r="BM1266" s="4"/>
      <c r="BN1266" s="4"/>
      <c r="BO1266" s="4"/>
      <c r="BP1266" s="4"/>
      <c r="BQ1266" s="4"/>
      <c r="BR1266" s="4"/>
      <c r="BS1266" s="4"/>
      <c r="BT1266" s="4"/>
      <c r="BU1266" s="4"/>
      <c r="BV1266" s="4"/>
      <c r="BW1266" s="4"/>
      <c r="BX1266" s="4"/>
      <c r="BY1266" s="4"/>
      <c r="BZ1266" s="4"/>
      <c r="CA1266" s="4"/>
      <c r="CB1266" s="4"/>
      <c r="CC1266" s="4"/>
      <c r="CD1266" s="4"/>
      <c r="CE1266" s="4"/>
      <c r="CF1266" s="4"/>
      <c r="CG1266" s="4"/>
      <c r="CH1266" s="4"/>
      <c r="CI1266" s="4"/>
      <c r="CJ1266" s="4"/>
      <c r="CK1266" s="4"/>
      <c r="CL1266" s="4"/>
      <c r="CM1266" s="4"/>
      <c r="CN1266" s="4"/>
      <c r="CO1266" s="4"/>
      <c r="CP1266" s="4"/>
      <c r="CQ1266" s="4"/>
      <c r="CR1266" s="4"/>
      <c r="CS1266" s="4"/>
      <c r="CT1266" s="4"/>
      <c r="CU1266" s="4"/>
      <c r="CV1266" s="4"/>
      <c r="CW1266" s="3"/>
      <c r="CX1266" s="3"/>
      <c r="CY1266" s="8"/>
      <c r="CZ1266" s="4"/>
      <c r="DA1266" s="4"/>
      <c r="DB1266" s="4"/>
      <c r="DC1266" s="4"/>
      <c r="DD1266" s="8"/>
      <c r="DE1266" s="8"/>
      <c r="DF1266" s="8"/>
      <c r="DG1266" s="8"/>
      <c r="DH1266" s="4"/>
      <c r="DI1266" s="4"/>
      <c r="DJ1266" s="4"/>
      <c r="DK1266" s="4"/>
      <c r="DL1266" s="4"/>
      <c r="DM1266" s="4"/>
      <c r="DN1266" s="4"/>
      <c r="DO1266" s="4"/>
      <c r="DP1266" s="4"/>
      <c r="DQ1266" s="4"/>
      <c r="DR1266" s="4"/>
      <c r="DS1266" s="4"/>
      <c r="DT1266" s="4"/>
      <c r="DU1266" s="4"/>
      <c r="DV1266" s="4"/>
      <c r="DW1266" s="4"/>
      <c r="DX1266" s="4"/>
      <c r="DY1266" s="4"/>
      <c r="DZ1266" s="4"/>
      <c r="EA1266" s="4"/>
      <c r="EB1266" s="8"/>
      <c r="EC1266" s="8"/>
      <c r="ED1266" s="8"/>
      <c r="EE1266" s="8"/>
      <c r="EF1266" s="8"/>
      <c r="EG1266" s="8"/>
      <c r="EH1266" s="4"/>
      <c r="EI1266" s="4"/>
      <c r="EJ1266" s="4"/>
    </row>
    <row r="1267" spans="1:152" hidden="1">
      <c r="A1267" s="11" t="s">
        <v>9940</v>
      </c>
      <c r="B1267" s="3" t="s">
        <v>8379</v>
      </c>
      <c r="C1267" s="3">
        <v>2009</v>
      </c>
      <c r="D1267" s="3" t="s">
        <v>626</v>
      </c>
      <c r="E1267" s="3" t="s">
        <v>8634</v>
      </c>
      <c r="F1267" s="3">
        <v>1</v>
      </c>
      <c r="G1267" s="4"/>
      <c r="H1267" s="3" t="s">
        <v>8635</v>
      </c>
      <c r="I1267" s="3"/>
      <c r="J1267" s="3"/>
      <c r="K1267" s="4"/>
      <c r="L1267" s="4"/>
      <c r="M1267" s="4"/>
      <c r="T1267" s="4"/>
      <c r="V1267" s="3"/>
      <c r="W1267" s="4"/>
      <c r="X1267" s="5" t="s">
        <v>631</v>
      </c>
      <c r="Y1267" s="5"/>
      <c r="Z1267" s="3">
        <v>1</v>
      </c>
      <c r="AA1267" s="4"/>
      <c r="AB1267" s="3"/>
      <c r="AE1267" s="3"/>
      <c r="AF1267" s="3"/>
      <c r="AG1267" s="3"/>
      <c r="AH1267" s="4"/>
      <c r="AI1267" s="4"/>
      <c r="AJ1267" s="4"/>
      <c r="AK1267" s="3"/>
      <c r="AL1267" s="3"/>
      <c r="AM1267" s="3"/>
      <c r="AN1267" s="3"/>
      <c r="AO1267" s="4"/>
      <c r="AP1267" s="4"/>
      <c r="AQ1267" s="3"/>
      <c r="AR1267" s="4"/>
      <c r="AS1267" s="4"/>
      <c r="AT1267" s="4"/>
      <c r="AU1267" s="4"/>
      <c r="AV1267" s="4"/>
      <c r="AW1267" s="4"/>
      <c r="AX1267" s="4"/>
      <c r="AY1267" s="4"/>
      <c r="AZ1267" s="4"/>
      <c r="BA1267" s="3"/>
      <c r="BB1267" s="4"/>
      <c r="BC1267" s="3"/>
      <c r="BD1267" s="3"/>
      <c r="BE1267" s="3"/>
      <c r="BF1267" s="4"/>
      <c r="BG1267" s="3"/>
      <c r="BH1267" s="3"/>
      <c r="BI1267" s="4"/>
      <c r="BJ1267" s="4"/>
      <c r="BK1267" s="4"/>
      <c r="BL1267" s="4"/>
      <c r="BM1267" s="4"/>
      <c r="BN1267" s="4"/>
      <c r="BO1267" s="4"/>
      <c r="BP1267" s="4"/>
      <c r="BQ1267" s="4"/>
      <c r="BR1267" s="4"/>
      <c r="BS1267" s="4"/>
      <c r="BT1267" s="4"/>
      <c r="BU1267" s="4"/>
      <c r="BV1267" s="4"/>
      <c r="BW1267" s="4"/>
      <c r="BX1267" s="4"/>
      <c r="BY1267" s="4"/>
      <c r="BZ1267" s="4"/>
      <c r="CA1267" s="4"/>
      <c r="CB1267" s="4"/>
      <c r="CC1267" s="4"/>
      <c r="CD1267" s="4"/>
      <c r="CE1267" s="4"/>
      <c r="CF1267" s="4"/>
      <c r="CG1267" s="4"/>
      <c r="CH1267" s="4"/>
      <c r="CI1267" s="4"/>
      <c r="CJ1267" s="4"/>
      <c r="CK1267" s="4"/>
      <c r="CL1267" s="4"/>
      <c r="CM1267" s="4"/>
      <c r="CN1267" s="4"/>
      <c r="CO1267" s="4"/>
      <c r="CP1267" s="4"/>
      <c r="CQ1267" s="4"/>
      <c r="CR1267" s="4"/>
      <c r="CS1267" s="4"/>
      <c r="CT1267" s="4"/>
      <c r="CU1267" s="4"/>
      <c r="CV1267" s="4"/>
      <c r="CW1267" s="3"/>
      <c r="CX1267" s="3"/>
      <c r="CY1267" s="8"/>
      <c r="CZ1267" s="4"/>
      <c r="DA1267" s="4"/>
      <c r="DB1267" s="4"/>
      <c r="DC1267" s="4"/>
      <c r="DD1267" s="8"/>
      <c r="DE1267" s="8"/>
      <c r="DF1267" s="8"/>
      <c r="DG1267" s="8"/>
      <c r="DH1267" s="4"/>
      <c r="DI1267" s="4"/>
      <c r="DJ1267" s="4"/>
      <c r="DK1267" s="4"/>
      <c r="DL1267" s="4"/>
      <c r="DM1267" s="4"/>
      <c r="DN1267" s="4"/>
      <c r="DO1267" s="4"/>
      <c r="DP1267" s="4"/>
      <c r="DQ1267" s="4"/>
      <c r="DR1267" s="4"/>
      <c r="DS1267" s="4"/>
      <c r="DT1267" s="4"/>
      <c r="DU1267" s="4"/>
      <c r="DV1267" s="4"/>
      <c r="DW1267" s="4"/>
      <c r="DX1267" s="4"/>
      <c r="DY1267" s="4"/>
      <c r="DZ1267" s="4"/>
      <c r="EA1267" s="4"/>
      <c r="EB1267" s="8"/>
      <c r="EC1267" s="8"/>
      <c r="ED1267" s="8"/>
      <c r="EE1267" s="8"/>
      <c r="EF1267" s="8"/>
      <c r="EG1267" s="8"/>
      <c r="EH1267" s="4"/>
      <c r="EI1267" s="4"/>
      <c r="EJ1267" s="4"/>
    </row>
    <row r="1268" spans="1:152" hidden="1">
      <c r="A1268" s="11" t="s">
        <v>9940</v>
      </c>
      <c r="B1268" s="3" t="s">
        <v>8373</v>
      </c>
      <c r="C1268" s="3">
        <v>2014</v>
      </c>
      <c r="D1268" s="3" t="s">
        <v>9374</v>
      </c>
      <c r="E1268" s="3" t="s">
        <v>9375</v>
      </c>
      <c r="F1268" s="3">
        <v>1</v>
      </c>
      <c r="G1268" s="3"/>
      <c r="H1268" s="3" t="s">
        <v>9378</v>
      </c>
      <c r="I1268" s="3"/>
      <c r="J1268" s="3"/>
      <c r="K1268" s="3" t="s">
        <v>40</v>
      </c>
      <c r="L1268" s="4"/>
      <c r="M1268" s="3" t="s">
        <v>8500</v>
      </c>
      <c r="T1268" s="3" t="s">
        <v>9376</v>
      </c>
      <c r="V1268" s="3"/>
      <c r="W1268" s="3"/>
      <c r="X1268" s="5" t="s">
        <v>9377</v>
      </c>
      <c r="Y1268" s="5"/>
      <c r="Z1268" s="3">
        <v>0</v>
      </c>
      <c r="AA1268" s="3" t="s">
        <v>9265</v>
      </c>
      <c r="AB1268" s="4"/>
      <c r="AE1268" s="3"/>
      <c r="AF1268" s="4"/>
      <c r="AG1268" s="4"/>
      <c r="AH1268" s="4"/>
      <c r="AI1268" s="4"/>
      <c r="AJ1268" s="4"/>
      <c r="AK1268" s="3"/>
      <c r="AL1268" s="3"/>
      <c r="AM1268" s="3"/>
      <c r="AN1268" s="3"/>
      <c r="AO1268" s="4"/>
      <c r="AP1268" s="3"/>
      <c r="AQ1268" s="4"/>
      <c r="AR1268" s="3"/>
      <c r="AS1268" s="3"/>
      <c r="AT1268" s="4"/>
      <c r="AU1268" s="3"/>
      <c r="AV1268" s="4"/>
      <c r="AW1268" s="4"/>
      <c r="AX1268" s="4"/>
      <c r="AY1268" s="4"/>
      <c r="AZ1268" s="4"/>
      <c r="BA1268" s="4"/>
      <c r="BB1268" s="4"/>
      <c r="BC1268" s="4"/>
      <c r="BD1268" s="4"/>
      <c r="BE1268" s="4"/>
      <c r="BF1268" s="3"/>
      <c r="BG1268" s="3"/>
      <c r="BH1268" s="3"/>
      <c r="BI1268" s="4"/>
      <c r="BJ1268" s="3"/>
      <c r="BK1268" s="4"/>
      <c r="BL1268" s="4"/>
      <c r="BM1268" s="4"/>
      <c r="BN1268" s="3"/>
      <c r="BO1268" s="4"/>
      <c r="BP1268" s="4"/>
      <c r="BQ1268" s="4"/>
      <c r="BR1268" s="4"/>
      <c r="BS1268" s="4"/>
      <c r="BT1268" s="4"/>
      <c r="BU1268" s="4"/>
      <c r="BV1268" s="4"/>
      <c r="BW1268" s="4"/>
      <c r="BX1268" s="4"/>
      <c r="BY1268" s="4"/>
      <c r="BZ1268" s="4"/>
      <c r="CA1268" s="4"/>
      <c r="CB1268" s="4"/>
      <c r="CC1268" s="4"/>
      <c r="CD1268" s="4"/>
      <c r="CE1268" s="4"/>
      <c r="CF1268" s="4"/>
      <c r="CG1268" s="4"/>
      <c r="CH1268" s="4"/>
      <c r="CI1268" s="4"/>
      <c r="CJ1268" s="4"/>
      <c r="CK1268" s="4"/>
      <c r="CL1268" s="4"/>
      <c r="CM1268" s="4"/>
      <c r="CN1268" s="4"/>
      <c r="CO1268" s="4"/>
      <c r="CP1268" s="4"/>
      <c r="CQ1268" s="4"/>
      <c r="CR1268" s="4"/>
      <c r="CS1268" s="4"/>
      <c r="CT1268" s="4"/>
      <c r="CU1268" s="4"/>
      <c r="CV1268" s="4"/>
      <c r="CW1268" s="4"/>
      <c r="CX1268" s="3"/>
      <c r="CY1268" s="3"/>
      <c r="CZ1268" s="4"/>
      <c r="DA1268" s="4"/>
      <c r="DB1268" s="4"/>
      <c r="DC1268" s="4"/>
      <c r="DD1268" s="4"/>
      <c r="DE1268" s="4"/>
      <c r="DF1268" s="4"/>
      <c r="DG1268" s="4"/>
      <c r="DH1268" s="4"/>
      <c r="DI1268" s="4"/>
      <c r="DJ1268" s="4"/>
      <c r="DK1268" s="4"/>
      <c r="DL1268" s="4"/>
      <c r="DM1268" s="4"/>
      <c r="DN1268" s="4"/>
      <c r="DO1268" s="4"/>
      <c r="DP1268" s="4"/>
      <c r="DQ1268" s="4"/>
      <c r="DR1268" s="4"/>
      <c r="DS1268" s="4"/>
      <c r="DT1268" s="4"/>
      <c r="DU1268" s="4"/>
      <c r="DV1268" s="4"/>
      <c r="DW1268" s="4"/>
      <c r="DX1268" s="4"/>
      <c r="DY1268" s="4"/>
      <c r="DZ1268" s="4"/>
      <c r="EA1268" s="4"/>
      <c r="EB1268" s="4"/>
      <c r="EC1268" s="4"/>
      <c r="ED1268" s="4"/>
      <c r="EE1268" s="4"/>
      <c r="EF1268" s="4"/>
      <c r="EG1268" s="4"/>
      <c r="EH1268" s="4"/>
      <c r="EI1268" s="4"/>
      <c r="EJ1268" s="4"/>
      <c r="EK1268" s="4"/>
    </row>
    <row r="1269" spans="1:152" hidden="1">
      <c r="A1269" s="11" t="s">
        <v>9940</v>
      </c>
      <c r="B1269" s="3" t="s">
        <v>8373</v>
      </c>
      <c r="C1269" s="3">
        <v>2012</v>
      </c>
      <c r="D1269" s="3" t="s">
        <v>2444</v>
      </c>
      <c r="E1269" s="3" t="s">
        <v>9379</v>
      </c>
      <c r="F1269" s="3">
        <v>1</v>
      </c>
      <c r="G1269" s="3"/>
      <c r="H1269" s="3" t="s">
        <v>9381</v>
      </c>
      <c r="I1269" s="3"/>
      <c r="J1269" s="3"/>
      <c r="K1269" s="3" t="s">
        <v>1168</v>
      </c>
      <c r="L1269" s="4"/>
      <c r="M1269" s="3" t="s">
        <v>9380</v>
      </c>
      <c r="T1269" s="3" t="s">
        <v>2446</v>
      </c>
      <c r="V1269" s="3"/>
      <c r="W1269" s="3"/>
      <c r="X1269" s="5" t="s">
        <v>2449</v>
      </c>
      <c r="Y1269" s="5"/>
      <c r="Z1269" s="3">
        <v>0</v>
      </c>
      <c r="AA1269" s="3" t="s">
        <v>9178</v>
      </c>
      <c r="AB1269" s="4"/>
      <c r="AE1269" s="3"/>
      <c r="AF1269" s="4"/>
      <c r="AG1269" s="4"/>
      <c r="AH1269" s="4"/>
      <c r="AI1269" s="4"/>
      <c r="AJ1269" s="4"/>
      <c r="AK1269" s="3"/>
      <c r="AL1269" s="3"/>
      <c r="AM1269" s="3"/>
      <c r="AN1269" s="3"/>
      <c r="AO1269" s="4"/>
      <c r="AP1269" s="3"/>
      <c r="AQ1269" s="4"/>
      <c r="AR1269" s="3"/>
      <c r="AS1269" s="3"/>
      <c r="AT1269" s="4"/>
      <c r="AU1269" s="3"/>
      <c r="AV1269" s="4"/>
      <c r="AW1269" s="4"/>
      <c r="AX1269" s="4"/>
      <c r="AY1269" s="4"/>
      <c r="AZ1269" s="4"/>
      <c r="BA1269" s="4"/>
      <c r="BB1269" s="4"/>
      <c r="BC1269" s="4"/>
      <c r="BD1269" s="4"/>
      <c r="BE1269" s="4"/>
      <c r="BF1269" s="3"/>
      <c r="BG1269" s="3"/>
      <c r="BH1269" s="3"/>
      <c r="BI1269" s="4"/>
      <c r="BJ1269" s="3"/>
      <c r="BK1269" s="4"/>
      <c r="BL1269" s="3"/>
      <c r="BM1269" s="4"/>
      <c r="BN1269" s="4"/>
      <c r="BO1269" s="4"/>
      <c r="BP1269" s="4"/>
      <c r="BQ1269" s="4"/>
      <c r="BR1269" s="4"/>
      <c r="BS1269" s="4"/>
      <c r="BT1269" s="4"/>
      <c r="BU1269" s="4"/>
      <c r="BV1269" s="4"/>
      <c r="BW1269" s="4"/>
      <c r="BX1269" s="4"/>
      <c r="BY1269" s="4"/>
      <c r="BZ1269" s="4"/>
      <c r="CA1269" s="4"/>
      <c r="CB1269" s="4"/>
      <c r="CC1269" s="4"/>
      <c r="CD1269" s="4"/>
      <c r="CE1269" s="4"/>
      <c r="CF1269" s="4"/>
      <c r="CG1269" s="4"/>
      <c r="CH1269" s="4"/>
      <c r="CI1269" s="4"/>
      <c r="CJ1269" s="4"/>
      <c r="CK1269" s="4"/>
      <c r="CL1269" s="4"/>
      <c r="CM1269" s="4"/>
      <c r="CN1269" s="4"/>
      <c r="CO1269" s="4"/>
      <c r="CP1269" s="4"/>
      <c r="CQ1269" s="4"/>
      <c r="CR1269" s="4"/>
      <c r="CS1269" s="4"/>
      <c r="CT1269" s="4"/>
      <c r="CU1269" s="4"/>
      <c r="CV1269" s="4"/>
      <c r="CW1269" s="4"/>
      <c r="CX1269" s="4"/>
      <c r="CY1269" s="4"/>
      <c r="CZ1269" s="4"/>
      <c r="DA1269" s="4"/>
      <c r="DB1269" s="4"/>
      <c r="DC1269" s="3"/>
      <c r="DD1269" s="3"/>
      <c r="DE1269" s="4"/>
      <c r="DF1269" s="4"/>
      <c r="DG1269" s="4"/>
      <c r="DH1269" s="4"/>
      <c r="DI1269" s="4"/>
      <c r="DJ1269" s="4"/>
      <c r="DK1269" s="4"/>
      <c r="DL1269" s="4"/>
      <c r="DM1269" s="4"/>
      <c r="DN1269" s="4"/>
      <c r="DO1269" s="4"/>
      <c r="DP1269" s="4"/>
      <c r="DQ1269" s="4"/>
      <c r="DR1269" s="4"/>
      <c r="DS1269" s="4"/>
      <c r="DT1269" s="4"/>
      <c r="DU1269" s="4"/>
      <c r="DV1269" s="4"/>
      <c r="DW1269" s="4"/>
      <c r="DX1269" s="4"/>
      <c r="DY1269" s="4"/>
      <c r="DZ1269" s="4"/>
      <c r="EA1269" s="4"/>
      <c r="EB1269" s="4"/>
      <c r="EC1269" s="4"/>
      <c r="ED1269" s="4"/>
      <c r="EE1269" s="4"/>
      <c r="EF1269" s="4"/>
      <c r="EG1269" s="4"/>
      <c r="EH1269" s="4"/>
      <c r="EI1269" s="4"/>
      <c r="EJ1269" s="4"/>
      <c r="EK1269" s="4"/>
      <c r="EL1269" s="4"/>
      <c r="EM1269" s="4"/>
      <c r="EN1269" s="4"/>
      <c r="EO1269" s="4"/>
      <c r="EP1269" s="4"/>
    </row>
    <row r="1270" spans="1:152" hidden="1">
      <c r="A1270" s="11" t="s">
        <v>9940</v>
      </c>
      <c r="B1270" s="3" t="s">
        <v>8373</v>
      </c>
      <c r="C1270" s="3">
        <v>2016</v>
      </c>
      <c r="D1270" s="3" t="s">
        <v>9382</v>
      </c>
      <c r="E1270" s="3" t="s">
        <v>9383</v>
      </c>
      <c r="F1270" s="3">
        <v>1</v>
      </c>
      <c r="G1270" s="3"/>
      <c r="H1270" s="3" t="s">
        <v>9386</v>
      </c>
      <c r="I1270" s="3"/>
      <c r="J1270" s="3"/>
      <c r="K1270" s="3" t="s">
        <v>470</v>
      </c>
      <c r="L1270" s="4"/>
      <c r="M1270" s="12">
        <v>11720</v>
      </c>
      <c r="T1270" s="3" t="s">
        <v>9384</v>
      </c>
      <c r="V1270" s="3"/>
      <c r="W1270" s="3"/>
      <c r="X1270" s="5" t="s">
        <v>9385</v>
      </c>
      <c r="Y1270" s="5"/>
      <c r="Z1270" s="3">
        <v>0</v>
      </c>
      <c r="AA1270" s="3" t="s">
        <v>9178</v>
      </c>
      <c r="AB1270" s="4"/>
      <c r="AE1270" s="3"/>
      <c r="AF1270" s="4"/>
      <c r="AG1270" s="4"/>
      <c r="AH1270" s="4"/>
      <c r="AI1270" s="4"/>
      <c r="AJ1270" s="4"/>
      <c r="AK1270" s="3"/>
      <c r="AL1270" s="3"/>
      <c r="AM1270" s="3"/>
      <c r="AN1270" s="3"/>
      <c r="AO1270" s="4"/>
      <c r="AP1270" s="3"/>
      <c r="AQ1270" s="4"/>
      <c r="AR1270" s="3"/>
      <c r="AS1270" s="3"/>
      <c r="AT1270" s="4"/>
      <c r="AU1270" s="3"/>
      <c r="AV1270" s="4"/>
      <c r="AW1270" s="4"/>
      <c r="AX1270" s="4"/>
      <c r="AY1270" s="4"/>
      <c r="AZ1270" s="4"/>
      <c r="BA1270" s="4"/>
      <c r="BB1270" s="4"/>
      <c r="BC1270" s="4"/>
      <c r="BD1270" s="4"/>
      <c r="BE1270" s="4"/>
      <c r="BF1270" s="3"/>
      <c r="BG1270" s="3"/>
      <c r="BH1270" s="3"/>
      <c r="BI1270" s="4"/>
      <c r="BJ1270" s="3"/>
      <c r="BK1270" s="4"/>
      <c r="BL1270" s="3"/>
      <c r="BM1270" s="4"/>
      <c r="BN1270" s="4"/>
      <c r="BO1270" s="4"/>
      <c r="BP1270" s="4"/>
      <c r="BQ1270" s="4"/>
      <c r="BR1270" s="4"/>
      <c r="BS1270" s="4"/>
      <c r="BT1270" s="4"/>
      <c r="BU1270" s="4"/>
      <c r="BV1270" s="4"/>
      <c r="BW1270" s="4"/>
      <c r="BX1270" s="4"/>
      <c r="BY1270" s="4"/>
      <c r="BZ1270" s="4"/>
      <c r="CA1270" s="4"/>
      <c r="CB1270" s="4"/>
      <c r="CC1270" s="4"/>
      <c r="CD1270" s="4"/>
      <c r="CE1270" s="4"/>
      <c r="CF1270" s="4"/>
      <c r="CG1270" s="4"/>
      <c r="CH1270" s="3"/>
      <c r="CI1270" s="3"/>
      <c r="CJ1270" s="4"/>
      <c r="CK1270" s="4"/>
      <c r="CL1270" s="4"/>
      <c r="CM1270" s="4"/>
      <c r="CN1270" s="4"/>
      <c r="CO1270" s="4"/>
      <c r="CP1270" s="4"/>
      <c r="CQ1270" s="4"/>
      <c r="CR1270" s="4"/>
      <c r="CS1270" s="4"/>
      <c r="CT1270" s="4"/>
      <c r="CU1270" s="4"/>
      <c r="CV1270" s="4"/>
      <c r="CW1270" s="4"/>
      <c r="CX1270" s="4"/>
      <c r="CY1270" s="4"/>
      <c r="CZ1270" s="4"/>
      <c r="DA1270" s="4"/>
      <c r="DB1270" s="4"/>
      <c r="DC1270" s="4"/>
      <c r="DD1270" s="4"/>
      <c r="DE1270" s="4"/>
      <c r="DF1270" s="4"/>
      <c r="DG1270" s="4"/>
      <c r="DH1270" s="4"/>
      <c r="DI1270" s="4"/>
      <c r="DJ1270" s="4"/>
      <c r="DK1270" s="4"/>
      <c r="DL1270" s="4"/>
      <c r="DM1270" s="4"/>
      <c r="DN1270" s="4"/>
      <c r="DO1270" s="4"/>
      <c r="DP1270" s="4"/>
      <c r="DQ1270" s="4"/>
      <c r="DR1270" s="4"/>
      <c r="DS1270" s="4"/>
      <c r="DT1270" s="4"/>
      <c r="DU1270" s="4"/>
    </row>
    <row r="1271" spans="1:152" hidden="1">
      <c r="A1271" s="11" t="s">
        <v>9940</v>
      </c>
      <c r="B1271" s="3" t="s">
        <v>8373</v>
      </c>
      <c r="C1271" s="3">
        <v>2009</v>
      </c>
      <c r="D1271" s="3" t="s">
        <v>1159</v>
      </c>
      <c r="E1271" s="3" t="s">
        <v>9387</v>
      </c>
      <c r="F1271" s="3">
        <v>1</v>
      </c>
      <c r="G1271" s="3"/>
      <c r="H1271" s="3" t="s">
        <v>9388</v>
      </c>
      <c r="I1271" s="3"/>
      <c r="J1271" s="3"/>
      <c r="K1271" s="3" t="s">
        <v>1160</v>
      </c>
      <c r="L1271" s="4"/>
      <c r="M1271" s="3" t="s">
        <v>8692</v>
      </c>
      <c r="T1271" s="3" t="s">
        <v>1162</v>
      </c>
      <c r="V1271" s="3"/>
      <c r="W1271" s="3"/>
      <c r="X1271" s="5" t="s">
        <v>1165</v>
      </c>
      <c r="Y1271" s="5"/>
      <c r="Z1271" s="3">
        <v>0</v>
      </c>
      <c r="AA1271" s="3" t="s">
        <v>9237</v>
      </c>
      <c r="AB1271" s="4"/>
      <c r="AE1271" s="3"/>
      <c r="AF1271" s="4"/>
      <c r="AG1271" s="4"/>
      <c r="AH1271" s="4"/>
      <c r="AI1271" s="4"/>
      <c r="AJ1271" s="4"/>
      <c r="AK1271" s="3"/>
      <c r="AL1271" s="3"/>
      <c r="AM1271" s="3"/>
      <c r="AN1271" s="3"/>
      <c r="AO1271" s="4"/>
      <c r="AP1271" s="3"/>
      <c r="AQ1271" s="4"/>
      <c r="AR1271" s="3"/>
      <c r="AS1271" s="3"/>
      <c r="AT1271" s="4"/>
      <c r="AU1271" s="3"/>
      <c r="AV1271" s="4"/>
      <c r="AW1271" s="4"/>
      <c r="AX1271" s="4"/>
      <c r="AY1271" s="4"/>
      <c r="AZ1271" s="4"/>
      <c r="BA1271" s="4"/>
      <c r="BB1271" s="4"/>
      <c r="BC1271" s="4"/>
      <c r="BD1271" s="4"/>
      <c r="BE1271" s="4"/>
      <c r="BF1271" s="3"/>
      <c r="BG1271" s="3"/>
      <c r="BH1271" s="3"/>
      <c r="BI1271" s="4"/>
      <c r="BJ1271" s="3"/>
      <c r="BK1271" s="4"/>
      <c r="BL1271" s="4"/>
      <c r="BM1271" s="4"/>
      <c r="BN1271" s="3"/>
      <c r="BO1271" s="4"/>
      <c r="BP1271" s="4"/>
      <c r="BQ1271" s="4"/>
      <c r="BR1271" s="4"/>
      <c r="BS1271" s="4"/>
      <c r="BT1271" s="4"/>
      <c r="BU1271" s="4"/>
      <c r="BV1271" s="4"/>
      <c r="BW1271" s="4"/>
      <c r="BX1271" s="4"/>
      <c r="BY1271" s="4"/>
      <c r="BZ1271" s="4"/>
      <c r="CA1271" s="4"/>
      <c r="CB1271" s="4"/>
      <c r="CC1271" s="4"/>
      <c r="CD1271" s="4"/>
      <c r="CE1271" s="4"/>
      <c r="CF1271" s="4"/>
      <c r="CG1271" s="4"/>
      <c r="CH1271" s="4"/>
      <c r="CI1271" s="4"/>
      <c r="CJ1271" s="4"/>
      <c r="CK1271" s="4"/>
      <c r="CL1271" s="4"/>
      <c r="CM1271" s="4"/>
      <c r="CN1271" s="4"/>
      <c r="CO1271" s="4"/>
      <c r="CP1271" s="4"/>
      <c r="CQ1271" s="4"/>
      <c r="CR1271" s="4"/>
      <c r="CS1271" s="3"/>
      <c r="CT1271" s="3"/>
      <c r="CU1271" s="4"/>
      <c r="CV1271" s="4"/>
      <c r="CW1271" s="4"/>
      <c r="CX1271" s="4"/>
      <c r="CY1271" s="4"/>
      <c r="CZ1271" s="4"/>
      <c r="DA1271" s="4"/>
      <c r="DB1271" s="4"/>
      <c r="DC1271" s="4"/>
      <c r="DD1271" s="4"/>
      <c r="DE1271" s="4"/>
      <c r="DF1271" s="4"/>
      <c r="DG1271" s="4"/>
      <c r="DH1271" s="4"/>
      <c r="DI1271" s="4"/>
      <c r="DJ1271" s="4"/>
      <c r="DK1271" s="4"/>
      <c r="DL1271" s="4"/>
      <c r="DM1271" s="4"/>
      <c r="DN1271" s="4"/>
      <c r="DO1271" s="4"/>
      <c r="DP1271" s="4"/>
      <c r="DQ1271" s="4"/>
      <c r="DR1271" s="4"/>
      <c r="DS1271" s="4"/>
      <c r="DT1271" s="4"/>
      <c r="DU1271" s="4"/>
      <c r="DV1271" s="4"/>
      <c r="DW1271" s="4"/>
      <c r="DX1271" s="4"/>
      <c r="DY1271" s="4"/>
      <c r="DZ1271" s="4"/>
      <c r="EA1271" s="4"/>
      <c r="EB1271" s="4"/>
      <c r="EC1271" s="4"/>
      <c r="ED1271" s="4"/>
      <c r="EE1271" s="4"/>
      <c r="EF1271" s="4"/>
    </row>
    <row r="1272" spans="1:152" hidden="1">
      <c r="A1272" s="11" t="s">
        <v>9940</v>
      </c>
      <c r="B1272" s="3" t="s">
        <v>8373</v>
      </c>
      <c r="C1272" s="3">
        <v>2004</v>
      </c>
      <c r="D1272" s="3" t="s">
        <v>9389</v>
      </c>
      <c r="E1272" s="3" t="s">
        <v>9390</v>
      </c>
      <c r="F1272" s="3">
        <v>1</v>
      </c>
      <c r="G1272" s="3"/>
      <c r="H1272" s="3" t="s">
        <v>5907</v>
      </c>
      <c r="I1272" s="3"/>
      <c r="J1272" s="3"/>
      <c r="K1272" s="3" t="s">
        <v>485</v>
      </c>
      <c r="L1272" s="4"/>
      <c r="M1272" s="3" t="s">
        <v>8697</v>
      </c>
      <c r="T1272" s="3" t="s">
        <v>5905</v>
      </c>
      <c r="V1272" s="3"/>
      <c r="W1272" s="3"/>
      <c r="X1272" s="5" t="s">
        <v>5908</v>
      </c>
      <c r="Y1272" s="5"/>
      <c r="Z1272" s="3">
        <v>0</v>
      </c>
      <c r="AA1272" s="3" t="s">
        <v>9237</v>
      </c>
      <c r="AB1272" s="4"/>
      <c r="AE1272" s="3"/>
      <c r="AF1272" s="4"/>
      <c r="AG1272" s="4"/>
      <c r="AH1272" s="4"/>
      <c r="AI1272" s="4"/>
      <c r="AJ1272" s="4"/>
      <c r="AK1272" s="3"/>
      <c r="AL1272" s="3"/>
      <c r="AM1272" s="3"/>
      <c r="AN1272" s="3"/>
      <c r="AO1272" s="4"/>
      <c r="AP1272" s="3"/>
      <c r="AQ1272" s="4"/>
      <c r="AR1272" s="3"/>
      <c r="AS1272" s="3"/>
      <c r="AT1272" s="4"/>
      <c r="AU1272" s="3"/>
      <c r="AV1272" s="4"/>
      <c r="AW1272" s="4"/>
      <c r="AX1272" s="4"/>
      <c r="AY1272" s="4"/>
      <c r="AZ1272" s="4"/>
      <c r="BA1272" s="4"/>
      <c r="BB1272" s="4"/>
      <c r="BC1272" s="4"/>
      <c r="BD1272" s="4"/>
      <c r="BE1272" s="4"/>
      <c r="BF1272" s="3"/>
      <c r="BG1272" s="3"/>
      <c r="BH1272" s="3"/>
      <c r="BI1272" s="4"/>
      <c r="BJ1272" s="3"/>
      <c r="BK1272" s="4"/>
      <c r="BL1272" s="4"/>
      <c r="BM1272" s="4"/>
      <c r="BN1272" s="3"/>
      <c r="BO1272" s="4"/>
      <c r="BP1272" s="4"/>
      <c r="BQ1272" s="4"/>
      <c r="BR1272" s="4"/>
      <c r="BS1272" s="4"/>
      <c r="BT1272" s="4"/>
      <c r="BU1272" s="4"/>
      <c r="BV1272" s="4"/>
      <c r="BW1272" s="4"/>
      <c r="BX1272" s="4"/>
      <c r="BY1272" s="4"/>
      <c r="BZ1272" s="4"/>
      <c r="CA1272" s="4"/>
      <c r="CB1272" s="4"/>
      <c r="CC1272" s="4"/>
      <c r="CD1272" s="4"/>
      <c r="CE1272" s="4"/>
      <c r="CF1272" s="4"/>
      <c r="CG1272" s="4"/>
      <c r="CH1272" s="4"/>
      <c r="CI1272" s="4"/>
      <c r="CJ1272" s="4"/>
      <c r="CK1272" s="4"/>
      <c r="CL1272" s="3"/>
      <c r="CM1272" s="3"/>
      <c r="CN1272" s="4"/>
      <c r="CO1272" s="4"/>
      <c r="CP1272" s="4"/>
      <c r="CQ1272" s="4"/>
      <c r="CR1272" s="4"/>
      <c r="CS1272" s="4"/>
      <c r="CT1272" s="4"/>
      <c r="CU1272" s="4"/>
      <c r="CV1272" s="4"/>
      <c r="CW1272" s="4"/>
      <c r="CX1272" s="4"/>
      <c r="CY1272" s="4"/>
      <c r="CZ1272" s="4"/>
      <c r="DA1272" s="4"/>
      <c r="DB1272" s="4"/>
      <c r="DC1272" s="4"/>
      <c r="DD1272" s="4"/>
      <c r="DE1272" s="4"/>
      <c r="DF1272" s="4"/>
      <c r="DG1272" s="4"/>
      <c r="DH1272" s="4"/>
      <c r="DI1272" s="4"/>
      <c r="DJ1272" s="4"/>
      <c r="DK1272" s="4"/>
      <c r="DL1272" s="4"/>
      <c r="DM1272" s="4"/>
      <c r="DN1272" s="4"/>
      <c r="DO1272" s="4"/>
      <c r="DP1272" s="4"/>
      <c r="DQ1272" s="4"/>
      <c r="DR1272" s="4"/>
      <c r="DS1272" s="4"/>
      <c r="DT1272" s="4"/>
      <c r="DU1272" s="4"/>
      <c r="DV1272" s="4"/>
      <c r="DW1272" s="4"/>
      <c r="DX1272" s="4"/>
      <c r="DY1272" s="4"/>
    </row>
    <row r="1273" spans="1:152" hidden="1">
      <c r="A1273" s="11" t="s">
        <v>9940</v>
      </c>
      <c r="B1273" s="3" t="s">
        <v>8373</v>
      </c>
      <c r="C1273" s="3">
        <v>2014</v>
      </c>
      <c r="D1273" s="3" t="s">
        <v>8091</v>
      </c>
      <c r="E1273" s="3" t="s">
        <v>8636</v>
      </c>
      <c r="F1273" s="3">
        <v>1</v>
      </c>
      <c r="G1273" s="3"/>
      <c r="H1273" s="3" t="s">
        <v>8637</v>
      </c>
      <c r="I1273" s="3"/>
      <c r="J1273" s="3"/>
      <c r="K1273" s="3" t="s">
        <v>40</v>
      </c>
      <c r="L1273" s="4"/>
      <c r="M1273" s="3" t="s">
        <v>8500</v>
      </c>
      <c r="T1273" s="3" t="s">
        <v>8093</v>
      </c>
      <c r="V1273" s="3"/>
      <c r="W1273" s="3"/>
      <c r="X1273" s="5" t="s">
        <v>8096</v>
      </c>
      <c r="Y1273" s="5"/>
      <c r="Z1273" s="3">
        <v>1</v>
      </c>
      <c r="AA1273" s="4"/>
      <c r="AB1273" s="4"/>
      <c r="AE1273" s="3"/>
      <c r="AF1273" s="3"/>
      <c r="AG1273" s="4"/>
      <c r="AH1273" s="4"/>
      <c r="AI1273" s="4"/>
      <c r="AJ1273" s="4"/>
      <c r="AK1273" s="3"/>
      <c r="AL1273" s="3"/>
      <c r="AM1273" s="3"/>
      <c r="AN1273" s="3"/>
      <c r="AO1273" s="4"/>
      <c r="AP1273" s="3"/>
      <c r="AQ1273" s="4"/>
      <c r="AR1273" s="3"/>
      <c r="AS1273" s="3"/>
      <c r="AT1273" s="4"/>
      <c r="AU1273" s="3"/>
      <c r="AV1273" s="4"/>
      <c r="AW1273" s="4"/>
      <c r="AX1273" s="4"/>
      <c r="AY1273" s="4"/>
      <c r="AZ1273" s="4"/>
      <c r="BA1273" s="4"/>
      <c r="BB1273" s="4"/>
      <c r="BC1273" s="4"/>
      <c r="BD1273" s="4"/>
      <c r="BE1273" s="4"/>
      <c r="BF1273" s="3"/>
      <c r="BG1273" s="3"/>
      <c r="BH1273" s="3"/>
      <c r="BI1273" s="4"/>
      <c r="BJ1273" s="3"/>
      <c r="BK1273" s="4"/>
      <c r="BL1273" s="4"/>
      <c r="BM1273" s="4"/>
      <c r="BN1273" s="3"/>
      <c r="BO1273" s="4"/>
      <c r="BP1273" s="4"/>
      <c r="BQ1273" s="4"/>
      <c r="BR1273" s="4"/>
      <c r="BS1273" s="4"/>
      <c r="BT1273" s="4"/>
      <c r="BU1273" s="4"/>
      <c r="BV1273" s="4"/>
      <c r="BW1273" s="4"/>
      <c r="BX1273" s="4"/>
      <c r="BY1273" s="4"/>
      <c r="BZ1273" s="4"/>
      <c r="CA1273" s="4"/>
      <c r="CB1273" s="4"/>
      <c r="CC1273" s="4"/>
      <c r="CD1273" s="4"/>
      <c r="CE1273" s="4"/>
      <c r="CF1273" s="4"/>
      <c r="CG1273" s="4"/>
      <c r="CH1273" s="4"/>
      <c r="CI1273" s="4"/>
      <c r="CJ1273" s="4"/>
      <c r="CK1273" s="4"/>
      <c r="CL1273" s="4"/>
      <c r="CM1273" s="4"/>
      <c r="CN1273" s="4"/>
      <c r="CO1273" s="4"/>
      <c r="CP1273" s="4"/>
      <c r="CQ1273" s="4"/>
      <c r="CR1273" s="4"/>
      <c r="CS1273" s="4"/>
      <c r="CT1273" s="4"/>
      <c r="CU1273" s="4"/>
      <c r="CV1273" s="4"/>
      <c r="CW1273" s="4"/>
      <c r="CX1273" s="3"/>
      <c r="CY1273" s="3"/>
      <c r="CZ1273" s="8"/>
      <c r="DA1273" s="4"/>
      <c r="DB1273" s="4"/>
      <c r="DC1273" s="4"/>
      <c r="DD1273" s="4"/>
      <c r="DE1273" s="8"/>
      <c r="DF1273" s="8"/>
      <c r="DG1273" s="8"/>
      <c r="DH1273" s="8"/>
      <c r="DI1273" s="4"/>
      <c r="DJ1273" s="4"/>
      <c r="DK1273" s="4"/>
      <c r="DL1273" s="4"/>
      <c r="DM1273" s="4"/>
      <c r="DN1273" s="4"/>
      <c r="DO1273" s="4"/>
      <c r="DP1273" s="4"/>
      <c r="DQ1273" s="4"/>
      <c r="DR1273" s="4"/>
      <c r="DS1273" s="4"/>
      <c r="DT1273" s="4"/>
      <c r="DU1273" s="4"/>
      <c r="DV1273" s="4"/>
      <c r="DW1273" s="4"/>
      <c r="DX1273" s="4"/>
      <c r="DY1273" s="4"/>
      <c r="DZ1273" s="4"/>
      <c r="EA1273" s="4"/>
      <c r="EB1273" s="4"/>
      <c r="EC1273" s="8"/>
      <c r="ED1273" s="8"/>
      <c r="EE1273" s="8"/>
      <c r="EF1273" s="8"/>
      <c r="EG1273" s="8"/>
      <c r="EH1273" s="8"/>
      <c r="EI1273" s="4"/>
      <c r="EJ1273" s="4"/>
      <c r="EK1273" s="4"/>
    </row>
    <row r="1274" spans="1:152" hidden="1">
      <c r="A1274" s="11" t="s">
        <v>9940</v>
      </c>
      <c r="B1274" s="3" t="s">
        <v>8373</v>
      </c>
      <c r="C1274" s="3">
        <v>2018</v>
      </c>
      <c r="D1274" s="3" t="s">
        <v>3125</v>
      </c>
      <c r="E1274" s="3" t="s">
        <v>8638</v>
      </c>
      <c r="F1274" s="3">
        <v>1</v>
      </c>
      <c r="G1274" s="3"/>
      <c r="H1274" s="3" t="s">
        <v>8640</v>
      </c>
      <c r="I1274" s="3"/>
      <c r="J1274" s="3"/>
      <c r="K1274" s="3" t="s">
        <v>1414</v>
      </c>
      <c r="L1274" s="4"/>
      <c r="M1274" s="3" t="s">
        <v>8639</v>
      </c>
      <c r="T1274" s="3" t="s">
        <v>3127</v>
      </c>
      <c r="V1274" s="3"/>
      <c r="W1274" s="3"/>
      <c r="X1274" s="5" t="s">
        <v>3130</v>
      </c>
      <c r="Y1274" s="5"/>
      <c r="Z1274" s="3">
        <v>1</v>
      </c>
      <c r="AA1274" s="4"/>
      <c r="AB1274" s="3"/>
      <c r="AE1274" s="3"/>
      <c r="AF1274" s="3"/>
      <c r="AG1274" s="4"/>
      <c r="AH1274" s="4"/>
      <c r="AI1274" s="4"/>
      <c r="AJ1274" s="4"/>
      <c r="AK1274" s="3"/>
      <c r="AL1274" s="3"/>
      <c r="AM1274" s="3"/>
      <c r="AN1274" s="3"/>
      <c r="AO1274" s="4"/>
      <c r="AP1274" s="3"/>
      <c r="AQ1274" s="4"/>
      <c r="AR1274" s="3"/>
      <c r="AS1274" s="3"/>
      <c r="AT1274" s="4"/>
      <c r="AU1274" s="3"/>
      <c r="AV1274" s="4"/>
      <c r="AW1274" s="4"/>
      <c r="AX1274" s="4"/>
      <c r="AY1274" s="4"/>
      <c r="AZ1274" s="4"/>
      <c r="BA1274" s="4"/>
      <c r="BB1274" s="4"/>
      <c r="BC1274" s="4"/>
      <c r="BD1274" s="4"/>
      <c r="BE1274" s="4"/>
      <c r="BF1274" s="3"/>
      <c r="BG1274" s="3"/>
      <c r="BH1274" s="3"/>
      <c r="BI1274" s="4"/>
      <c r="BJ1274" s="3"/>
      <c r="BK1274" s="4"/>
      <c r="BL1274" s="4"/>
      <c r="BM1274" s="3"/>
      <c r="BN1274" s="4"/>
      <c r="BO1274" s="4"/>
      <c r="BP1274" s="4"/>
      <c r="BQ1274" s="4"/>
      <c r="BR1274" s="4"/>
      <c r="BS1274" s="4"/>
      <c r="BT1274" s="4"/>
      <c r="BU1274" s="4"/>
      <c r="BV1274" s="4"/>
      <c r="BW1274" s="4"/>
      <c r="BX1274" s="4"/>
      <c r="BY1274" s="4"/>
      <c r="BZ1274" s="4"/>
      <c r="CA1274" s="4"/>
      <c r="CB1274" s="4"/>
      <c r="CC1274" s="4"/>
      <c r="CD1274" s="4"/>
      <c r="CE1274" s="4"/>
      <c r="CF1274" s="4"/>
      <c r="CG1274" s="4"/>
      <c r="CH1274" s="4"/>
      <c r="CI1274" s="4"/>
      <c r="CJ1274" s="3"/>
      <c r="CK1274" s="3"/>
      <c r="CL1274" s="8"/>
      <c r="CM1274" s="4"/>
      <c r="CN1274" s="4"/>
      <c r="CO1274" s="4"/>
      <c r="CP1274" s="4"/>
      <c r="CQ1274" s="8"/>
      <c r="CR1274" s="8"/>
      <c r="CS1274" s="8"/>
      <c r="CT1274" s="8"/>
      <c r="CU1274" s="4"/>
      <c r="CV1274" s="4"/>
      <c r="CW1274" s="4"/>
      <c r="CX1274" s="4"/>
      <c r="CY1274" s="4"/>
      <c r="CZ1274" s="4"/>
      <c r="DA1274" s="4"/>
      <c r="DB1274" s="4"/>
      <c r="DC1274" s="4"/>
      <c r="DD1274" s="4"/>
      <c r="DE1274" s="4"/>
      <c r="DF1274" s="4"/>
      <c r="DG1274" s="4"/>
      <c r="DH1274" s="4"/>
      <c r="DI1274" s="4"/>
      <c r="DJ1274" s="4"/>
      <c r="DK1274" s="4"/>
      <c r="DL1274" s="4"/>
      <c r="DM1274" s="4"/>
      <c r="DN1274" s="4"/>
      <c r="DO1274" s="8"/>
      <c r="DP1274" s="8"/>
      <c r="DQ1274" s="8"/>
      <c r="DR1274" s="8"/>
      <c r="DS1274" s="8"/>
      <c r="DT1274" s="8"/>
      <c r="DU1274" s="4"/>
      <c r="DV1274" s="4"/>
      <c r="DW1274" s="4"/>
    </row>
    <row r="1275" spans="1:152" hidden="1">
      <c r="A1275" s="11" t="s">
        <v>9940</v>
      </c>
      <c r="B1275" s="3" t="s">
        <v>8373</v>
      </c>
      <c r="C1275" s="3">
        <v>2013</v>
      </c>
      <c r="D1275" s="3" t="s">
        <v>299</v>
      </c>
      <c r="E1275" s="3" t="s">
        <v>8641</v>
      </c>
      <c r="F1275" s="3">
        <v>1</v>
      </c>
      <c r="G1275" s="3"/>
      <c r="H1275" s="3" t="s">
        <v>8642</v>
      </c>
      <c r="I1275" s="3"/>
      <c r="J1275" s="3"/>
      <c r="K1275" s="3" t="s">
        <v>93</v>
      </c>
      <c r="L1275" s="4"/>
      <c r="M1275" s="3" t="s">
        <v>8511</v>
      </c>
      <c r="T1275" s="3" t="s">
        <v>301</v>
      </c>
      <c r="V1275" s="3"/>
      <c r="W1275" s="3"/>
      <c r="X1275" s="5" t="s">
        <v>304</v>
      </c>
      <c r="Y1275" s="5"/>
      <c r="Z1275" s="3">
        <v>1</v>
      </c>
      <c r="AA1275" s="4"/>
      <c r="AB1275" s="4"/>
      <c r="AE1275" s="3"/>
      <c r="AF1275" s="3"/>
      <c r="AG1275" s="4"/>
      <c r="AH1275" s="4"/>
      <c r="AI1275" s="4"/>
      <c r="AJ1275" s="4"/>
      <c r="AK1275" s="3"/>
      <c r="AL1275" s="3"/>
      <c r="AM1275" s="3"/>
      <c r="AN1275" s="3"/>
      <c r="AO1275" s="4"/>
      <c r="AP1275" s="3"/>
      <c r="AQ1275" s="4"/>
      <c r="AR1275" s="3"/>
      <c r="AS1275" s="3"/>
      <c r="AT1275" s="4"/>
      <c r="AU1275" s="3"/>
      <c r="AV1275" s="4"/>
      <c r="AW1275" s="4"/>
      <c r="AX1275" s="4"/>
      <c r="AY1275" s="4"/>
      <c r="AZ1275" s="4"/>
      <c r="BA1275" s="4"/>
      <c r="BB1275" s="4"/>
      <c r="BC1275" s="4"/>
      <c r="BD1275" s="4"/>
      <c r="BE1275" s="4"/>
      <c r="BF1275" s="3"/>
      <c r="BG1275" s="3"/>
      <c r="BH1275" s="3"/>
      <c r="BI1275" s="4"/>
      <c r="BJ1275" s="3"/>
      <c r="BK1275" s="4"/>
      <c r="BL1275" s="4"/>
      <c r="BM1275" s="3"/>
      <c r="BN1275" s="4"/>
      <c r="BO1275" s="4"/>
      <c r="BP1275" s="4"/>
      <c r="BQ1275" s="4"/>
      <c r="BR1275" s="4"/>
      <c r="BS1275" s="4"/>
      <c r="BT1275" s="4"/>
      <c r="BU1275" s="4"/>
      <c r="BV1275" s="4"/>
      <c r="BW1275" s="4"/>
      <c r="BX1275" s="4"/>
      <c r="BY1275" s="4"/>
      <c r="BZ1275" s="4"/>
      <c r="CA1275" s="4"/>
      <c r="CB1275" s="4"/>
      <c r="CC1275" s="4"/>
      <c r="CD1275" s="4"/>
      <c r="CE1275" s="4"/>
      <c r="CF1275" s="4"/>
      <c r="CG1275" s="4"/>
      <c r="CH1275" s="3"/>
      <c r="CI1275" s="3"/>
      <c r="CJ1275" s="8"/>
      <c r="CK1275" s="4"/>
      <c r="CL1275" s="4"/>
      <c r="CM1275" s="4"/>
      <c r="CN1275" s="4"/>
      <c r="CO1275" s="8"/>
      <c r="CP1275" s="8"/>
      <c r="CQ1275" s="8"/>
      <c r="CR1275" s="8"/>
      <c r="CS1275" s="4"/>
      <c r="CT1275" s="4"/>
      <c r="CU1275" s="4"/>
      <c r="CV1275" s="4"/>
      <c r="CW1275" s="4"/>
      <c r="CX1275" s="4"/>
      <c r="CY1275" s="4"/>
      <c r="CZ1275" s="4"/>
      <c r="DA1275" s="4"/>
      <c r="DB1275" s="4"/>
      <c r="DC1275" s="4"/>
      <c r="DD1275" s="4"/>
      <c r="DE1275" s="4"/>
      <c r="DF1275" s="4"/>
      <c r="DG1275" s="4"/>
      <c r="DH1275" s="4"/>
      <c r="DI1275" s="4"/>
      <c r="DJ1275" s="4"/>
      <c r="DK1275" s="4"/>
      <c r="DL1275" s="4"/>
      <c r="DM1275" s="8"/>
      <c r="DN1275" s="8"/>
      <c r="DO1275" s="8"/>
      <c r="DP1275" s="8"/>
      <c r="DQ1275" s="8"/>
      <c r="DR1275" s="8"/>
      <c r="DS1275" s="4"/>
      <c r="DT1275" s="4"/>
      <c r="DU1275" s="4"/>
    </row>
    <row r="1276" spans="1:152" hidden="1">
      <c r="A1276" s="11" t="s">
        <v>9940</v>
      </c>
      <c r="B1276" s="3" t="s">
        <v>8373</v>
      </c>
      <c r="C1276" s="3">
        <v>2010</v>
      </c>
      <c r="D1276" s="3" t="s">
        <v>8643</v>
      </c>
      <c r="E1276" s="3" t="s">
        <v>8644</v>
      </c>
      <c r="F1276" s="3">
        <v>1</v>
      </c>
      <c r="G1276" s="3"/>
      <c r="H1276" s="3" t="s">
        <v>8645</v>
      </c>
      <c r="I1276" s="3"/>
      <c r="J1276" s="3"/>
      <c r="K1276" s="3" t="s">
        <v>132</v>
      </c>
      <c r="L1276" s="4"/>
      <c r="M1276" s="3" t="s">
        <v>8382</v>
      </c>
      <c r="T1276" s="3" t="s">
        <v>5626</v>
      </c>
      <c r="V1276" s="3"/>
      <c r="W1276" s="3"/>
      <c r="X1276" s="5" t="s">
        <v>5629</v>
      </c>
      <c r="Y1276" s="5"/>
      <c r="Z1276" s="3">
        <v>1</v>
      </c>
      <c r="AA1276" s="4"/>
      <c r="AB1276" s="3"/>
      <c r="AE1276" s="3"/>
      <c r="AF1276" s="3"/>
      <c r="AG1276" s="4"/>
      <c r="AH1276" s="4"/>
      <c r="AI1276" s="4"/>
      <c r="AJ1276" s="4"/>
      <c r="AK1276" s="3"/>
      <c r="AL1276" s="3"/>
      <c r="AM1276" s="3"/>
      <c r="AN1276" s="3"/>
      <c r="AO1276" s="4"/>
      <c r="AP1276" s="3"/>
      <c r="AQ1276" s="4"/>
      <c r="AR1276" s="3"/>
      <c r="AS1276" s="3"/>
      <c r="AT1276" s="4"/>
      <c r="AU1276" s="3"/>
      <c r="AV1276" s="4"/>
      <c r="AW1276" s="4"/>
      <c r="AX1276" s="4"/>
      <c r="AY1276" s="4"/>
      <c r="AZ1276" s="4"/>
      <c r="BA1276" s="4"/>
      <c r="BB1276" s="4"/>
      <c r="BC1276" s="4"/>
      <c r="BD1276" s="4"/>
      <c r="BE1276" s="4"/>
      <c r="BF1276" s="3"/>
      <c r="BG1276" s="3"/>
      <c r="BH1276" s="3"/>
      <c r="BI1276" s="4"/>
      <c r="BJ1276" s="3"/>
      <c r="BK1276" s="4"/>
      <c r="BL1276" s="4"/>
      <c r="BM1276" s="3"/>
      <c r="BN1276" s="4"/>
      <c r="BO1276" s="4"/>
      <c r="BP1276" s="4"/>
      <c r="BQ1276" s="4"/>
      <c r="BR1276" s="4"/>
      <c r="BS1276" s="4"/>
      <c r="BT1276" s="4"/>
      <c r="BU1276" s="4"/>
      <c r="BV1276" s="4"/>
      <c r="BW1276" s="4"/>
      <c r="BX1276" s="4"/>
      <c r="BY1276" s="4"/>
      <c r="BZ1276" s="4"/>
      <c r="CA1276" s="4"/>
      <c r="CB1276" s="4"/>
      <c r="CC1276" s="4"/>
      <c r="CD1276" s="4"/>
      <c r="CE1276" s="4"/>
      <c r="CF1276" s="4"/>
      <c r="CG1276" s="4"/>
      <c r="CH1276" s="4"/>
      <c r="CI1276" s="4"/>
      <c r="CJ1276" s="4"/>
      <c r="CK1276" s="4"/>
      <c r="CL1276" s="4"/>
      <c r="CM1276" s="4"/>
      <c r="CN1276" s="4"/>
      <c r="CO1276" s="4"/>
      <c r="CP1276" s="4"/>
      <c r="CQ1276" s="4"/>
      <c r="CR1276" s="4"/>
      <c r="CS1276" s="4"/>
      <c r="CT1276" s="4"/>
      <c r="CU1276" s="4"/>
      <c r="CV1276" s="4"/>
      <c r="CW1276" s="4"/>
      <c r="CX1276" s="4"/>
      <c r="CY1276" s="4"/>
      <c r="CZ1276" s="4"/>
      <c r="DA1276" s="4"/>
      <c r="DB1276" s="4"/>
      <c r="DC1276" s="4"/>
      <c r="DD1276" s="4"/>
      <c r="DE1276" s="4"/>
      <c r="DF1276" s="4"/>
      <c r="DG1276" s="3"/>
      <c r="DH1276" s="3"/>
      <c r="DI1276" s="8"/>
      <c r="DJ1276" s="4"/>
      <c r="DK1276" s="4"/>
      <c r="DL1276" s="4"/>
      <c r="DM1276" s="4"/>
      <c r="DN1276" s="8"/>
      <c r="DO1276" s="8"/>
      <c r="DP1276" s="8"/>
      <c r="DQ1276" s="8"/>
      <c r="DR1276" s="4"/>
      <c r="DS1276" s="4"/>
      <c r="DT1276" s="4"/>
      <c r="DU1276" s="4"/>
      <c r="DV1276" s="4"/>
      <c r="DW1276" s="4"/>
      <c r="DX1276" s="4"/>
      <c r="DY1276" s="4"/>
      <c r="DZ1276" s="4"/>
      <c r="EA1276" s="4"/>
      <c r="EB1276" s="4"/>
      <c r="EC1276" s="4"/>
      <c r="ED1276" s="4"/>
      <c r="EE1276" s="4"/>
      <c r="EF1276" s="4"/>
      <c r="EG1276" s="4"/>
      <c r="EH1276" s="4"/>
      <c r="EI1276" s="4"/>
      <c r="EJ1276" s="4"/>
      <c r="EK1276" s="4"/>
      <c r="EL1276" s="8"/>
      <c r="EM1276" s="8"/>
      <c r="EN1276" s="8"/>
      <c r="EO1276" s="8"/>
      <c r="EP1276" s="8"/>
      <c r="EQ1276" s="8"/>
      <c r="ER1276" s="4"/>
      <c r="ES1276" s="4"/>
      <c r="ET1276" s="4"/>
    </row>
    <row r="1277" spans="1:152" hidden="1">
      <c r="A1277" s="11" t="s">
        <v>9940</v>
      </c>
      <c r="B1277" s="3" t="s">
        <v>8373</v>
      </c>
      <c r="C1277" s="3">
        <v>2013</v>
      </c>
      <c r="D1277" s="3" t="s">
        <v>9391</v>
      </c>
      <c r="E1277" s="3" t="s">
        <v>9392</v>
      </c>
      <c r="F1277" s="3">
        <v>1</v>
      </c>
      <c r="G1277" s="3"/>
      <c r="H1277" s="3" t="s">
        <v>7642</v>
      </c>
      <c r="I1277" s="3"/>
      <c r="J1277" s="3"/>
      <c r="K1277" s="3" t="s">
        <v>7638</v>
      </c>
      <c r="L1277" s="4"/>
      <c r="M1277" s="3" t="s">
        <v>9393</v>
      </c>
      <c r="T1277" s="3" t="s">
        <v>7640</v>
      </c>
      <c r="V1277" s="3"/>
      <c r="W1277" s="3"/>
      <c r="X1277" s="5" t="s">
        <v>7643</v>
      </c>
      <c r="Y1277" s="5"/>
      <c r="Z1277" s="3">
        <v>0</v>
      </c>
      <c r="AA1277" s="3" t="s">
        <v>9237</v>
      </c>
      <c r="AB1277" s="4"/>
      <c r="AE1277" s="3"/>
      <c r="AF1277" s="4"/>
      <c r="AG1277" s="4"/>
      <c r="AH1277" s="4"/>
      <c r="AI1277" s="4"/>
      <c r="AJ1277" s="4"/>
      <c r="AK1277" s="3"/>
      <c r="AL1277" s="3"/>
      <c r="AM1277" s="3"/>
      <c r="AN1277" s="3"/>
      <c r="AO1277" s="4"/>
      <c r="AP1277" s="3"/>
      <c r="AQ1277" s="4"/>
      <c r="AR1277" s="3"/>
      <c r="AS1277" s="3"/>
      <c r="AT1277" s="4"/>
      <c r="AU1277" s="3"/>
      <c r="AV1277" s="4"/>
      <c r="AW1277" s="4"/>
      <c r="AX1277" s="4"/>
      <c r="AY1277" s="4"/>
      <c r="AZ1277" s="4"/>
      <c r="BA1277" s="4"/>
      <c r="BB1277" s="4"/>
      <c r="BC1277" s="4"/>
      <c r="BD1277" s="4"/>
      <c r="BE1277" s="4"/>
      <c r="BF1277" s="3"/>
      <c r="BG1277" s="3"/>
      <c r="BH1277" s="3"/>
      <c r="BI1277" s="4"/>
      <c r="BJ1277" s="3"/>
      <c r="BK1277" s="4"/>
      <c r="BL1277" s="4"/>
      <c r="BM1277" s="3"/>
      <c r="BN1277" s="4"/>
      <c r="BO1277" s="4"/>
      <c r="BP1277" s="4"/>
      <c r="BQ1277" s="4"/>
      <c r="BR1277" s="4"/>
      <c r="BS1277" s="4"/>
      <c r="BT1277" s="4"/>
      <c r="BU1277" s="4"/>
      <c r="BV1277" s="4"/>
      <c r="BW1277" s="4"/>
      <c r="BX1277" s="4"/>
      <c r="BY1277" s="4"/>
      <c r="BZ1277" s="4"/>
      <c r="CA1277" s="4"/>
      <c r="CB1277" s="4"/>
      <c r="CC1277" s="4"/>
      <c r="CD1277" s="4"/>
      <c r="CE1277" s="4"/>
      <c r="CF1277" s="4"/>
      <c r="CG1277" s="4"/>
      <c r="CH1277" s="4"/>
      <c r="CI1277" s="4"/>
      <c r="CJ1277" s="4"/>
      <c r="CK1277" s="4"/>
      <c r="CL1277" s="4"/>
      <c r="CM1277" s="4"/>
      <c r="CN1277" s="4"/>
      <c r="CO1277" s="4"/>
      <c r="CP1277" s="4"/>
      <c r="CQ1277" s="4"/>
      <c r="CR1277" s="4"/>
      <c r="CS1277" s="4"/>
      <c r="CT1277" s="4"/>
      <c r="CU1277" s="4"/>
      <c r="CV1277" s="4"/>
      <c r="CW1277" s="3"/>
      <c r="CX1277" s="3"/>
      <c r="CY1277" s="4"/>
      <c r="CZ1277" s="4"/>
      <c r="DA1277" s="4"/>
      <c r="DB1277" s="4"/>
      <c r="DC1277" s="4"/>
      <c r="DD1277" s="4"/>
      <c r="DE1277" s="4"/>
      <c r="DF1277" s="4"/>
      <c r="DG1277" s="4"/>
      <c r="DH1277" s="4"/>
      <c r="DI1277" s="4"/>
      <c r="DJ1277" s="4"/>
      <c r="DK1277" s="4"/>
      <c r="DL1277" s="4"/>
      <c r="DM1277" s="4"/>
      <c r="DN1277" s="4"/>
      <c r="DO1277" s="4"/>
      <c r="DP1277" s="4"/>
      <c r="DQ1277" s="4"/>
      <c r="DR1277" s="4"/>
      <c r="DS1277" s="4"/>
      <c r="DT1277" s="4"/>
      <c r="DU1277" s="4"/>
      <c r="DV1277" s="4"/>
      <c r="DW1277" s="4"/>
      <c r="DX1277" s="4"/>
      <c r="DY1277" s="4"/>
      <c r="DZ1277" s="4"/>
      <c r="EA1277" s="4"/>
      <c r="EB1277" s="4"/>
      <c r="EC1277" s="4"/>
      <c r="ED1277" s="4"/>
      <c r="EE1277" s="4"/>
      <c r="EF1277" s="4"/>
      <c r="EG1277" s="4"/>
      <c r="EH1277" s="4"/>
      <c r="EI1277" s="4"/>
      <c r="EJ1277" s="4"/>
    </row>
    <row r="1278" spans="1:152" hidden="1">
      <c r="A1278" s="11" t="s">
        <v>9940</v>
      </c>
      <c r="B1278" s="3" t="s">
        <v>8373</v>
      </c>
      <c r="C1278" s="3">
        <v>2019</v>
      </c>
      <c r="D1278" s="3" t="s">
        <v>8646</v>
      </c>
      <c r="E1278" s="3" t="s">
        <v>8647</v>
      </c>
      <c r="F1278" s="3">
        <v>1</v>
      </c>
      <c r="G1278" s="3"/>
      <c r="H1278" s="3" t="s">
        <v>8651</v>
      </c>
      <c r="I1278" s="3"/>
      <c r="J1278" s="3"/>
      <c r="K1278" s="3" t="s">
        <v>766</v>
      </c>
      <c r="L1278" s="4"/>
      <c r="M1278" s="3" t="s">
        <v>8648</v>
      </c>
      <c r="T1278" s="3" t="s">
        <v>8649</v>
      </c>
      <c r="V1278" s="3"/>
      <c r="W1278" s="4"/>
      <c r="X1278" s="5" t="s">
        <v>8650</v>
      </c>
      <c r="Y1278" s="5"/>
      <c r="Z1278" s="3">
        <v>1</v>
      </c>
      <c r="AA1278" s="4"/>
      <c r="AB1278" s="4"/>
      <c r="AE1278" s="3"/>
      <c r="AF1278" s="3"/>
      <c r="AG1278" s="4"/>
      <c r="AH1278" s="4"/>
      <c r="AI1278" s="4"/>
      <c r="AJ1278" s="4"/>
      <c r="AK1278" s="3"/>
      <c r="AL1278" s="7"/>
      <c r="AM1278" s="3"/>
      <c r="AN1278" s="3"/>
      <c r="AO1278" s="4"/>
      <c r="AP1278" s="4"/>
      <c r="AQ1278" s="4"/>
      <c r="AR1278" s="4"/>
      <c r="AS1278" s="4"/>
      <c r="AT1278" s="4"/>
      <c r="AU1278" s="3"/>
      <c r="AV1278" s="4"/>
      <c r="AW1278" s="4"/>
      <c r="AX1278" s="4"/>
      <c r="AY1278" s="4"/>
      <c r="AZ1278" s="4"/>
      <c r="BA1278" s="4"/>
      <c r="BB1278" s="4"/>
      <c r="BC1278" s="4"/>
      <c r="BD1278" s="4"/>
      <c r="BE1278" s="4"/>
      <c r="BF1278" s="3"/>
      <c r="BG1278" s="3"/>
      <c r="BH1278" s="3"/>
      <c r="BI1278" s="4"/>
      <c r="BJ1278" s="3"/>
      <c r="BK1278" s="4"/>
      <c r="BL1278" s="4"/>
      <c r="BM1278" s="3"/>
      <c r="BN1278" s="4"/>
      <c r="BO1278" s="4"/>
      <c r="BP1278" s="4"/>
      <c r="BQ1278" s="4"/>
      <c r="BR1278" s="4"/>
      <c r="BS1278" s="4"/>
      <c r="BT1278" s="4"/>
      <c r="BU1278" s="4"/>
      <c r="BV1278" s="4"/>
      <c r="BW1278" s="4"/>
      <c r="BX1278" s="4"/>
      <c r="BY1278" s="4"/>
      <c r="BZ1278" s="4"/>
      <c r="CA1278" s="4"/>
      <c r="CB1278" s="4"/>
      <c r="CC1278" s="4"/>
      <c r="CD1278" s="4"/>
      <c r="CE1278" s="4"/>
      <c r="CF1278" s="4"/>
      <c r="CG1278" s="4"/>
      <c r="CH1278" s="4"/>
      <c r="CI1278" s="4"/>
      <c r="CJ1278" s="4"/>
      <c r="CK1278" s="4"/>
      <c r="CL1278" s="4"/>
      <c r="CM1278" s="4"/>
      <c r="CN1278" s="4"/>
      <c r="CO1278" s="4"/>
      <c r="CP1278" s="4"/>
      <c r="CQ1278" s="4"/>
      <c r="CR1278" s="4"/>
      <c r="CS1278" s="4"/>
      <c r="CT1278" s="4"/>
      <c r="CU1278" s="4"/>
      <c r="CV1278" s="4"/>
      <c r="CW1278" s="4"/>
      <c r="CX1278" s="4"/>
      <c r="CY1278" s="4"/>
      <c r="CZ1278" s="4"/>
      <c r="DA1278" s="4"/>
      <c r="DB1278" s="4"/>
      <c r="DC1278" s="4"/>
      <c r="DD1278" s="4"/>
      <c r="DE1278" s="4"/>
      <c r="DF1278" s="4"/>
      <c r="DG1278" s="4"/>
      <c r="DH1278" s="4"/>
      <c r="DI1278" s="3"/>
      <c r="DJ1278" s="3"/>
      <c r="DK1278" s="8"/>
      <c r="DL1278" s="4"/>
      <c r="DM1278" s="4"/>
      <c r="DN1278" s="4"/>
      <c r="DO1278" s="4"/>
      <c r="DP1278" s="8"/>
      <c r="DQ1278" s="8"/>
      <c r="DR1278" s="8"/>
      <c r="DS1278" s="8"/>
      <c r="DT1278" s="4"/>
      <c r="DU1278" s="4"/>
      <c r="DV1278" s="4"/>
      <c r="DW1278" s="4"/>
      <c r="DX1278" s="4"/>
      <c r="DY1278" s="4"/>
      <c r="DZ1278" s="4"/>
      <c r="EA1278" s="4"/>
      <c r="EB1278" s="4"/>
      <c r="EC1278" s="4"/>
      <c r="ED1278" s="4"/>
      <c r="EE1278" s="4"/>
      <c r="EF1278" s="4"/>
      <c r="EG1278" s="4"/>
      <c r="EH1278" s="4"/>
      <c r="EI1278" s="4"/>
      <c r="EJ1278" s="4"/>
      <c r="EK1278" s="4"/>
      <c r="EL1278" s="4"/>
      <c r="EM1278" s="4"/>
      <c r="EN1278" s="8"/>
      <c r="EO1278" s="8"/>
      <c r="EP1278" s="8"/>
      <c r="EQ1278" s="8"/>
      <c r="ER1278" s="8"/>
      <c r="ES1278" s="8"/>
      <c r="ET1278" s="4"/>
      <c r="EU1278" s="4"/>
      <c r="EV1278" s="4"/>
    </row>
    <row r="1279" spans="1:152" hidden="1">
      <c r="A1279" s="11" t="s">
        <v>9940</v>
      </c>
      <c r="B1279" s="3" t="s">
        <v>8373</v>
      </c>
      <c r="C1279" s="3">
        <v>2014</v>
      </c>
      <c r="D1279" s="3" t="s">
        <v>6470</v>
      </c>
      <c r="E1279" s="3" t="s">
        <v>8652</v>
      </c>
      <c r="F1279" s="3">
        <v>1</v>
      </c>
      <c r="G1279" s="3"/>
      <c r="H1279" s="3" t="s">
        <v>8654</v>
      </c>
      <c r="I1279" s="3"/>
      <c r="J1279" s="3"/>
      <c r="K1279" s="3" t="s">
        <v>1751</v>
      </c>
      <c r="L1279" s="4"/>
      <c r="M1279" s="3" t="s">
        <v>8653</v>
      </c>
      <c r="T1279" s="3" t="s">
        <v>6472</v>
      </c>
      <c r="V1279" s="3"/>
      <c r="W1279" s="4"/>
      <c r="X1279" s="5" t="s">
        <v>6475</v>
      </c>
      <c r="Y1279" s="5"/>
      <c r="Z1279" s="3">
        <v>1</v>
      </c>
      <c r="AA1279" s="4"/>
      <c r="AB1279" s="4"/>
      <c r="AE1279" s="3"/>
      <c r="AF1279" s="3"/>
      <c r="AG1279" s="4"/>
      <c r="AH1279" s="4"/>
      <c r="AI1279" s="4"/>
      <c r="AJ1279" s="4"/>
      <c r="AK1279" s="3"/>
      <c r="AL1279" s="3"/>
      <c r="AM1279" s="3"/>
      <c r="AN1279" s="3"/>
      <c r="AO1279" s="4"/>
      <c r="AP1279" s="3"/>
      <c r="AQ1279" s="4"/>
      <c r="AR1279" s="3"/>
      <c r="AS1279" s="3"/>
      <c r="AT1279" s="4"/>
      <c r="AU1279" s="3"/>
      <c r="AV1279" s="4"/>
      <c r="AW1279" s="4"/>
      <c r="AX1279" s="4"/>
      <c r="AY1279" s="4"/>
      <c r="AZ1279" s="4"/>
      <c r="BA1279" s="4"/>
      <c r="BB1279" s="4"/>
      <c r="BC1279" s="4"/>
      <c r="BD1279" s="4"/>
      <c r="BE1279" s="4"/>
      <c r="BF1279" s="3"/>
      <c r="BG1279" s="3"/>
      <c r="BH1279" s="3"/>
      <c r="BI1279" s="4"/>
      <c r="BJ1279" s="3"/>
      <c r="BK1279" s="4"/>
      <c r="BL1279" s="4"/>
      <c r="BM1279" s="4"/>
      <c r="BN1279" s="3"/>
      <c r="BO1279" s="4"/>
      <c r="BP1279" s="4"/>
      <c r="BQ1279" s="4"/>
      <c r="BR1279" s="4"/>
      <c r="BS1279" s="4"/>
      <c r="BT1279" s="4"/>
      <c r="BU1279" s="4"/>
      <c r="BV1279" s="4"/>
      <c r="BW1279" s="4"/>
      <c r="BX1279" s="4"/>
      <c r="BY1279" s="4"/>
      <c r="BZ1279" s="4"/>
      <c r="CA1279" s="4"/>
      <c r="CB1279" s="4"/>
      <c r="CC1279" s="4"/>
      <c r="CD1279" s="4"/>
      <c r="CE1279" s="4"/>
      <c r="CF1279" s="4"/>
      <c r="CG1279" s="4"/>
      <c r="CH1279" s="3"/>
      <c r="CI1279" s="3"/>
      <c r="CJ1279" s="8"/>
      <c r="CK1279" s="4"/>
      <c r="CL1279" s="4"/>
      <c r="CM1279" s="4"/>
      <c r="CN1279" s="4"/>
      <c r="CO1279" s="8"/>
      <c r="CP1279" s="8"/>
      <c r="CQ1279" s="8"/>
      <c r="CR1279" s="8"/>
      <c r="CS1279" s="4"/>
      <c r="CT1279" s="4"/>
      <c r="CU1279" s="4"/>
      <c r="CV1279" s="4"/>
      <c r="CW1279" s="4"/>
      <c r="CX1279" s="4"/>
      <c r="CY1279" s="4"/>
      <c r="CZ1279" s="4"/>
      <c r="DA1279" s="4"/>
      <c r="DB1279" s="4"/>
      <c r="DC1279" s="4"/>
      <c r="DD1279" s="4"/>
      <c r="DE1279" s="4"/>
      <c r="DF1279" s="4"/>
      <c r="DG1279" s="4"/>
      <c r="DH1279" s="4"/>
      <c r="DI1279" s="4"/>
      <c r="DJ1279" s="4"/>
      <c r="DK1279" s="4"/>
      <c r="DL1279" s="4"/>
      <c r="DM1279" s="8"/>
      <c r="DN1279" s="8"/>
      <c r="DO1279" s="8"/>
      <c r="DP1279" s="8"/>
      <c r="DQ1279" s="8"/>
      <c r="DR1279" s="8"/>
      <c r="DS1279" s="4"/>
      <c r="DT1279" s="4"/>
      <c r="DU1279" s="4"/>
    </row>
    <row r="1280" spans="1:152" hidden="1">
      <c r="A1280" s="11" t="s">
        <v>9940</v>
      </c>
      <c r="B1280" s="3" t="s">
        <v>8386</v>
      </c>
      <c r="C1280" s="3">
        <v>2017</v>
      </c>
      <c r="D1280" s="3" t="s">
        <v>9394</v>
      </c>
      <c r="E1280" s="3" t="s">
        <v>9395</v>
      </c>
      <c r="F1280" s="3">
        <v>0</v>
      </c>
      <c r="G1280" s="3" t="s">
        <v>9249</v>
      </c>
      <c r="H1280" s="3" t="s">
        <v>9397</v>
      </c>
      <c r="I1280" s="3"/>
      <c r="J1280" s="3"/>
      <c r="K1280" s="3" t="s">
        <v>9320</v>
      </c>
      <c r="L1280" s="3" t="s">
        <v>8390</v>
      </c>
      <c r="M1280" s="4"/>
      <c r="T1280" s="4"/>
      <c r="V1280" s="4"/>
      <c r="W1280" s="4"/>
      <c r="X1280" s="5" t="s">
        <v>9396</v>
      </c>
      <c r="Y1280" s="5"/>
      <c r="Z1280" s="4"/>
      <c r="AA1280" s="4"/>
      <c r="AB1280" s="4"/>
      <c r="AE1280" s="4"/>
      <c r="AF1280" s="4"/>
      <c r="AG1280" s="3"/>
      <c r="AH1280" s="3"/>
      <c r="AI1280" s="3"/>
      <c r="AJ1280" s="3"/>
      <c r="AK1280" s="4"/>
      <c r="AL1280" s="3"/>
      <c r="AM1280" s="4"/>
      <c r="AN1280" s="4"/>
      <c r="AO1280" s="4"/>
      <c r="AP1280" s="4"/>
      <c r="AQ1280" s="4"/>
      <c r="AR1280" s="4"/>
      <c r="AS1280" s="3"/>
      <c r="AT1280" s="4"/>
      <c r="AU1280" s="4"/>
      <c r="AV1280" s="3"/>
      <c r="AW1280" s="3"/>
      <c r="AX1280" s="4"/>
      <c r="AY1280" s="4"/>
      <c r="AZ1280" s="3"/>
      <c r="BA1280" s="3"/>
      <c r="BB1280" s="3"/>
      <c r="BC1280" s="4"/>
      <c r="BD1280" s="3"/>
      <c r="BE1280" s="4"/>
      <c r="BF1280" s="4"/>
      <c r="BG1280" s="3"/>
      <c r="BH1280" s="3"/>
      <c r="BI1280" s="4"/>
      <c r="BJ1280" s="4"/>
      <c r="BK1280" s="4"/>
      <c r="BL1280" s="4"/>
      <c r="BM1280" s="4"/>
      <c r="BN1280" s="4"/>
      <c r="BO1280" s="4"/>
      <c r="BP1280" s="4"/>
      <c r="BQ1280" s="4"/>
      <c r="BR1280" s="4"/>
      <c r="BS1280" s="4"/>
      <c r="BT1280" s="4"/>
      <c r="BU1280" s="4"/>
      <c r="BV1280" s="4"/>
      <c r="BW1280" s="4"/>
      <c r="BX1280" s="4"/>
      <c r="BY1280" s="4"/>
      <c r="BZ1280" s="4"/>
      <c r="CA1280" s="4"/>
      <c r="CB1280" s="4"/>
      <c r="CC1280" s="4"/>
      <c r="CD1280" s="4"/>
      <c r="CE1280" s="4"/>
      <c r="CF1280" s="4"/>
      <c r="CG1280" s="4"/>
      <c r="CH1280" s="4"/>
      <c r="CI1280" s="4"/>
      <c r="CJ1280" s="4"/>
      <c r="CK1280" s="4"/>
      <c r="CL1280" s="4"/>
      <c r="CM1280" s="4"/>
      <c r="CN1280" s="4"/>
      <c r="CO1280" s="4"/>
      <c r="CP1280" s="4"/>
      <c r="CQ1280" s="4"/>
      <c r="CR1280" s="4"/>
      <c r="CS1280" s="4"/>
      <c r="CT1280" s="4"/>
      <c r="CU1280" s="4"/>
      <c r="CV1280" s="4"/>
      <c r="CW1280" s="4"/>
      <c r="CX1280" s="4"/>
      <c r="CY1280" s="4"/>
      <c r="CZ1280" s="4"/>
      <c r="DA1280" s="3"/>
      <c r="DB1280" s="3"/>
      <c r="DC1280" s="4"/>
      <c r="DD1280" s="4"/>
      <c r="DE1280" s="4"/>
      <c r="DF1280" s="4"/>
      <c r="DG1280" s="4"/>
      <c r="DH1280" s="4"/>
      <c r="DI1280" s="4"/>
      <c r="DJ1280" s="4"/>
      <c r="DK1280" s="4"/>
      <c r="DL1280" s="4"/>
      <c r="DM1280" s="4"/>
      <c r="DN1280" s="4"/>
      <c r="DO1280" s="4"/>
      <c r="DP1280" s="4"/>
      <c r="DQ1280" s="4"/>
      <c r="DR1280" s="4"/>
      <c r="DS1280" s="4"/>
      <c r="DT1280" s="4"/>
      <c r="DU1280" s="4"/>
      <c r="DV1280" s="4"/>
      <c r="DW1280" s="4"/>
      <c r="DX1280" s="4"/>
      <c r="DY1280" s="4"/>
      <c r="DZ1280" s="4"/>
      <c r="EA1280" s="4"/>
      <c r="EB1280" s="4"/>
      <c r="EC1280" s="4"/>
      <c r="ED1280" s="4"/>
      <c r="EE1280" s="4"/>
      <c r="EF1280" s="4"/>
      <c r="EG1280" s="4"/>
      <c r="EH1280" s="4"/>
      <c r="EI1280" s="4"/>
      <c r="EJ1280" s="4"/>
      <c r="EK1280" s="4"/>
      <c r="EL1280" s="4"/>
      <c r="EM1280" s="4"/>
      <c r="EN1280" s="4"/>
    </row>
    <row r="1281" spans="1:149" hidden="1">
      <c r="A1281" s="11" t="s">
        <v>9940</v>
      </c>
      <c r="B1281" s="3" t="s">
        <v>8373</v>
      </c>
      <c r="C1281" s="3">
        <v>2014</v>
      </c>
      <c r="D1281" s="3" t="s">
        <v>2976</v>
      </c>
      <c r="E1281" s="3" t="s">
        <v>9398</v>
      </c>
      <c r="F1281" s="3">
        <v>1</v>
      </c>
      <c r="G1281" s="3"/>
      <c r="H1281" s="3" t="s">
        <v>2980</v>
      </c>
      <c r="I1281" s="3"/>
      <c r="J1281" s="3"/>
      <c r="K1281" s="3" t="s">
        <v>48</v>
      </c>
      <c r="L1281" s="4"/>
      <c r="M1281" s="3" t="s">
        <v>9357</v>
      </c>
      <c r="T1281" s="3" t="s">
        <v>2978</v>
      </c>
      <c r="V1281" s="3"/>
      <c r="W1281" s="3"/>
      <c r="X1281" s="5" t="s">
        <v>2981</v>
      </c>
      <c r="Y1281" s="5"/>
      <c r="Z1281" s="3">
        <v>0</v>
      </c>
      <c r="AA1281" s="3" t="s">
        <v>9245</v>
      </c>
      <c r="AB1281" s="3"/>
      <c r="AE1281" s="3"/>
      <c r="AF1281" s="4"/>
      <c r="AG1281" s="4"/>
      <c r="AH1281" s="4"/>
      <c r="AI1281" s="4"/>
      <c r="AJ1281" s="4"/>
      <c r="AK1281" s="3"/>
      <c r="AL1281" s="3"/>
      <c r="AM1281" s="3"/>
      <c r="AN1281" s="3"/>
      <c r="AO1281" s="4"/>
      <c r="AP1281" s="3"/>
      <c r="AQ1281" s="4"/>
      <c r="AR1281" s="3"/>
      <c r="AS1281" s="3"/>
      <c r="AT1281" s="4"/>
      <c r="AU1281" s="3"/>
      <c r="AV1281" s="4"/>
      <c r="AW1281" s="4"/>
      <c r="AX1281" s="4"/>
      <c r="AY1281" s="4"/>
      <c r="AZ1281" s="4"/>
      <c r="BA1281" s="4"/>
      <c r="BB1281" s="4"/>
      <c r="BC1281" s="4"/>
      <c r="BD1281" s="4"/>
      <c r="BE1281" s="4"/>
      <c r="BF1281" s="3"/>
      <c r="BG1281" s="3"/>
      <c r="BH1281" s="3"/>
      <c r="BI1281" s="4"/>
      <c r="BJ1281" s="3"/>
      <c r="BK1281" s="4"/>
      <c r="BL1281" s="4"/>
      <c r="BM1281" s="3"/>
      <c r="BN1281" s="4"/>
      <c r="BO1281" s="4"/>
      <c r="BP1281" s="4"/>
      <c r="BQ1281" s="4"/>
      <c r="BR1281" s="4"/>
      <c r="BS1281" s="4"/>
      <c r="BT1281" s="4"/>
      <c r="BU1281" s="4"/>
      <c r="BV1281" s="4"/>
      <c r="BW1281" s="4"/>
      <c r="BX1281" s="4"/>
      <c r="BY1281" s="4"/>
      <c r="BZ1281" s="4"/>
      <c r="CA1281" s="4"/>
      <c r="CB1281" s="4"/>
      <c r="CC1281" s="4"/>
      <c r="CD1281" s="4"/>
      <c r="CE1281" s="4"/>
      <c r="CF1281" s="4"/>
      <c r="CG1281" s="4"/>
      <c r="CH1281" s="4"/>
      <c r="CI1281" s="4"/>
      <c r="CJ1281" s="4"/>
      <c r="CK1281" s="4"/>
      <c r="CL1281" s="4"/>
      <c r="CM1281" s="4"/>
      <c r="CN1281" s="4"/>
      <c r="CO1281" s="4"/>
      <c r="CP1281" s="4"/>
      <c r="CQ1281" s="4"/>
      <c r="CR1281" s="4"/>
      <c r="CS1281" s="4"/>
      <c r="CT1281" s="4"/>
      <c r="CU1281" s="4"/>
      <c r="CV1281" s="4"/>
      <c r="CW1281" s="4"/>
      <c r="CX1281" s="4"/>
      <c r="CY1281" s="4"/>
      <c r="CZ1281" s="4"/>
      <c r="DA1281" s="4"/>
      <c r="DB1281" s="3"/>
      <c r="DC1281" s="3"/>
      <c r="DD1281" s="4"/>
      <c r="DE1281" s="4"/>
      <c r="DF1281" s="4"/>
      <c r="DG1281" s="4"/>
      <c r="DH1281" s="4"/>
      <c r="DI1281" s="4"/>
      <c r="DJ1281" s="4"/>
      <c r="DK1281" s="4"/>
      <c r="DL1281" s="4"/>
      <c r="DM1281" s="4"/>
      <c r="DN1281" s="4"/>
      <c r="DO1281" s="4"/>
      <c r="DP1281" s="4"/>
      <c r="DQ1281" s="4"/>
      <c r="DR1281" s="4"/>
      <c r="DS1281" s="4"/>
      <c r="DT1281" s="4"/>
      <c r="DU1281" s="4"/>
      <c r="DV1281" s="4"/>
      <c r="DW1281" s="4"/>
      <c r="DX1281" s="4"/>
      <c r="DY1281" s="4"/>
      <c r="DZ1281" s="4"/>
      <c r="EA1281" s="4"/>
      <c r="EB1281" s="4"/>
      <c r="EC1281" s="4"/>
      <c r="ED1281" s="4"/>
      <c r="EE1281" s="4"/>
      <c r="EF1281" s="4"/>
      <c r="EG1281" s="4"/>
      <c r="EH1281" s="4"/>
      <c r="EI1281" s="4"/>
      <c r="EJ1281" s="4"/>
      <c r="EK1281" s="4"/>
      <c r="EL1281" s="4"/>
      <c r="EM1281" s="4"/>
      <c r="EN1281" s="4"/>
      <c r="EO1281" s="4"/>
    </row>
    <row r="1282" spans="1:149" hidden="1">
      <c r="A1282" s="11" t="s">
        <v>9940</v>
      </c>
      <c r="B1282" s="3" t="s">
        <v>8373</v>
      </c>
      <c r="C1282" s="3">
        <v>2012</v>
      </c>
      <c r="D1282" s="3" t="s">
        <v>8655</v>
      </c>
      <c r="E1282" s="3" t="s">
        <v>8656</v>
      </c>
      <c r="F1282" s="3">
        <v>1</v>
      </c>
      <c r="G1282" s="3"/>
      <c r="H1282" s="3" t="s">
        <v>8659</v>
      </c>
      <c r="I1282" s="3"/>
      <c r="J1282" s="3"/>
      <c r="K1282" s="3" t="s">
        <v>132</v>
      </c>
      <c r="L1282" s="4"/>
      <c r="M1282" s="3" t="s">
        <v>8382</v>
      </c>
      <c r="T1282" s="3" t="s">
        <v>8657</v>
      </c>
      <c r="V1282" s="3"/>
      <c r="W1282" s="4"/>
      <c r="X1282" s="5" t="s">
        <v>8658</v>
      </c>
      <c r="Y1282" s="5"/>
      <c r="Z1282" s="3">
        <v>1</v>
      </c>
      <c r="AA1282" s="4"/>
      <c r="AB1282" s="3"/>
      <c r="AE1282" s="3"/>
      <c r="AF1282" s="3"/>
      <c r="AG1282" s="4"/>
      <c r="AH1282" s="4"/>
      <c r="AI1282" s="4"/>
      <c r="AJ1282" s="4"/>
      <c r="AK1282" s="3"/>
      <c r="AL1282" s="3"/>
      <c r="AM1282" s="3"/>
      <c r="AN1282" s="3"/>
      <c r="AO1282" s="4"/>
      <c r="AP1282" s="3"/>
      <c r="AQ1282" s="4"/>
      <c r="AR1282" s="3"/>
      <c r="AS1282" s="3"/>
      <c r="AT1282" s="4"/>
      <c r="AU1282" s="3"/>
      <c r="AV1282" s="4"/>
      <c r="AW1282" s="4"/>
      <c r="AX1282" s="4"/>
      <c r="AY1282" s="4"/>
      <c r="AZ1282" s="4"/>
      <c r="BA1282" s="4"/>
      <c r="BB1282" s="4"/>
      <c r="BC1282" s="4"/>
      <c r="BD1282" s="4"/>
      <c r="BE1282" s="4"/>
      <c r="BF1282" s="3"/>
      <c r="BG1282" s="3"/>
      <c r="BH1282" s="3"/>
      <c r="BI1282" s="4"/>
      <c r="BJ1282" s="3"/>
      <c r="BK1282" s="4"/>
      <c r="BL1282" s="4"/>
      <c r="BM1282" s="3"/>
      <c r="BN1282" s="4"/>
      <c r="BO1282" s="4"/>
      <c r="BP1282" s="4"/>
      <c r="BQ1282" s="4"/>
      <c r="BR1282" s="4"/>
      <c r="BS1282" s="4"/>
      <c r="BT1282" s="4"/>
      <c r="BU1282" s="4"/>
      <c r="BV1282" s="4"/>
      <c r="BW1282" s="4"/>
      <c r="BX1282" s="4"/>
      <c r="BY1282" s="4"/>
      <c r="BZ1282" s="4"/>
      <c r="CA1282" s="4"/>
      <c r="CB1282" s="4"/>
      <c r="CC1282" s="4"/>
      <c r="CD1282" s="4"/>
      <c r="CE1282" s="4"/>
      <c r="CF1282" s="4"/>
      <c r="CG1282" s="4"/>
      <c r="CH1282" s="4"/>
      <c r="CI1282" s="4"/>
      <c r="CJ1282" s="4"/>
      <c r="CK1282" s="4"/>
      <c r="CL1282" s="4"/>
      <c r="CM1282" s="4"/>
      <c r="CN1282" s="4"/>
      <c r="CO1282" s="4"/>
      <c r="CP1282" s="4"/>
      <c r="CQ1282" s="4"/>
      <c r="CR1282" s="4"/>
      <c r="CS1282" s="4"/>
      <c r="CT1282" s="4"/>
      <c r="CU1282" s="4"/>
      <c r="CV1282" s="4"/>
      <c r="CW1282" s="4"/>
      <c r="CX1282" s="4"/>
      <c r="CY1282" s="4"/>
      <c r="CZ1282" s="4"/>
      <c r="DA1282" s="4"/>
      <c r="DB1282" s="4"/>
      <c r="DC1282" s="4"/>
      <c r="DD1282" s="4"/>
      <c r="DE1282" s="4"/>
      <c r="DF1282" s="3"/>
      <c r="DG1282" s="3"/>
      <c r="DH1282" s="8"/>
      <c r="DI1282" s="4"/>
      <c r="DJ1282" s="4"/>
      <c r="DK1282" s="4"/>
      <c r="DL1282" s="4"/>
      <c r="DM1282" s="8"/>
      <c r="DN1282" s="8"/>
      <c r="DO1282" s="8"/>
      <c r="DP1282" s="8"/>
      <c r="DQ1282" s="4"/>
      <c r="DR1282" s="4"/>
      <c r="DS1282" s="4"/>
      <c r="DT1282" s="4"/>
      <c r="DU1282" s="4"/>
      <c r="DV1282" s="4"/>
      <c r="DW1282" s="4"/>
      <c r="DX1282" s="4"/>
      <c r="DY1282" s="4"/>
      <c r="DZ1282" s="4"/>
      <c r="EA1282" s="4"/>
      <c r="EB1282" s="4"/>
      <c r="EC1282" s="4"/>
      <c r="ED1282" s="4"/>
      <c r="EE1282" s="4"/>
      <c r="EF1282" s="4"/>
      <c r="EG1282" s="4"/>
      <c r="EH1282" s="4"/>
      <c r="EI1282" s="4"/>
      <c r="EJ1282" s="4"/>
      <c r="EK1282" s="8"/>
      <c r="EL1282" s="8"/>
      <c r="EM1282" s="8"/>
      <c r="EN1282" s="8"/>
      <c r="EO1282" s="8"/>
      <c r="EP1282" s="8"/>
      <c r="EQ1282" s="4"/>
      <c r="ER1282" s="4"/>
      <c r="ES1282" s="4"/>
    </row>
    <row r="1283" spans="1:149" hidden="1">
      <c r="A1283" s="11" t="s">
        <v>9940</v>
      </c>
      <c r="B1283" s="3" t="s">
        <v>8373</v>
      </c>
      <c r="C1283" s="3">
        <v>2007</v>
      </c>
      <c r="D1283" s="3" t="s">
        <v>4064</v>
      </c>
      <c r="E1283" s="3" t="s">
        <v>9399</v>
      </c>
      <c r="F1283" s="3">
        <v>1</v>
      </c>
      <c r="G1283" s="3"/>
      <c r="H1283" s="3" t="s">
        <v>4068</v>
      </c>
      <c r="I1283" s="3"/>
      <c r="J1283" s="3"/>
      <c r="K1283" s="3" t="s">
        <v>470</v>
      </c>
      <c r="L1283" s="4"/>
      <c r="M1283" s="12">
        <v>11720</v>
      </c>
      <c r="T1283" s="3" t="s">
        <v>4066</v>
      </c>
      <c r="V1283" s="3"/>
      <c r="W1283" s="3"/>
      <c r="X1283" s="5" t="s">
        <v>4069</v>
      </c>
      <c r="Y1283" s="5"/>
      <c r="Z1283" s="3">
        <v>0</v>
      </c>
      <c r="AA1283" s="3" t="s">
        <v>9237</v>
      </c>
      <c r="AB1283" s="4"/>
      <c r="AE1283" s="3"/>
      <c r="AF1283" s="4"/>
      <c r="AG1283" s="4"/>
      <c r="AH1283" s="4"/>
      <c r="AI1283" s="4"/>
      <c r="AJ1283" s="4"/>
      <c r="AK1283" s="3"/>
      <c r="AL1283" s="3"/>
      <c r="AM1283" s="3"/>
      <c r="AN1283" s="3"/>
      <c r="AO1283" s="4"/>
      <c r="AP1283" s="3"/>
      <c r="AQ1283" s="4"/>
      <c r="AR1283" s="3"/>
      <c r="AS1283" s="3"/>
      <c r="AT1283" s="4"/>
      <c r="AU1283" s="3"/>
      <c r="AV1283" s="4"/>
      <c r="AW1283" s="4"/>
      <c r="AX1283" s="4"/>
      <c r="AY1283" s="4"/>
      <c r="AZ1283" s="4"/>
      <c r="BA1283" s="4"/>
      <c r="BB1283" s="4"/>
      <c r="BC1283" s="4"/>
      <c r="BD1283" s="4"/>
      <c r="BE1283" s="4"/>
      <c r="BF1283" s="3"/>
      <c r="BG1283" s="3"/>
      <c r="BH1283" s="3"/>
      <c r="BI1283" s="4"/>
      <c r="BJ1283" s="3"/>
      <c r="BK1283" s="4"/>
      <c r="BL1283" s="3"/>
      <c r="BM1283" s="4"/>
      <c r="BN1283" s="4"/>
      <c r="BO1283" s="4"/>
      <c r="BP1283" s="4"/>
      <c r="BQ1283" s="4"/>
      <c r="BR1283" s="4"/>
      <c r="BS1283" s="4"/>
      <c r="BT1283" s="4"/>
      <c r="BU1283" s="4"/>
      <c r="BV1283" s="4"/>
      <c r="BW1283" s="4"/>
      <c r="BX1283" s="4"/>
      <c r="BY1283" s="4"/>
      <c r="BZ1283" s="4"/>
      <c r="CA1283" s="4"/>
      <c r="CB1283" s="4"/>
      <c r="CC1283" s="4"/>
      <c r="CD1283" s="4"/>
      <c r="CE1283" s="4"/>
      <c r="CF1283" s="4"/>
      <c r="CG1283" s="3"/>
      <c r="CH1283" s="3"/>
      <c r="CI1283" s="4"/>
      <c r="CJ1283" s="4"/>
      <c r="CK1283" s="4"/>
      <c r="CL1283" s="4"/>
      <c r="CM1283" s="4"/>
      <c r="CN1283" s="4"/>
      <c r="CO1283" s="4"/>
      <c r="CP1283" s="4"/>
      <c r="CQ1283" s="4"/>
      <c r="CR1283" s="4"/>
      <c r="CS1283" s="4"/>
      <c r="CT1283" s="4"/>
      <c r="CU1283" s="4"/>
      <c r="CV1283" s="4"/>
      <c r="CW1283" s="4"/>
      <c r="CX1283" s="4"/>
      <c r="CY1283" s="4"/>
      <c r="CZ1283" s="4"/>
      <c r="DA1283" s="4"/>
      <c r="DB1283" s="4"/>
      <c r="DC1283" s="4"/>
      <c r="DD1283" s="4"/>
      <c r="DE1283" s="4"/>
      <c r="DF1283" s="4"/>
      <c r="DG1283" s="4"/>
      <c r="DH1283" s="4"/>
      <c r="DI1283" s="4"/>
      <c r="DJ1283" s="4"/>
      <c r="DK1283" s="4"/>
      <c r="DL1283" s="4"/>
      <c r="DM1283" s="4"/>
      <c r="DN1283" s="4"/>
      <c r="DO1283" s="4"/>
      <c r="DP1283" s="4"/>
      <c r="DQ1283" s="4"/>
      <c r="DR1283" s="4"/>
      <c r="DS1283" s="4"/>
      <c r="DT1283" s="4"/>
    </row>
    <row r="1284" spans="1:149" hidden="1">
      <c r="A1284" s="11" t="s">
        <v>9940</v>
      </c>
      <c r="B1284" s="3" t="s">
        <v>8386</v>
      </c>
      <c r="C1284" s="3">
        <v>2017</v>
      </c>
      <c r="D1284" s="3" t="s">
        <v>9400</v>
      </c>
      <c r="E1284" s="3" t="s">
        <v>9401</v>
      </c>
      <c r="F1284" s="3">
        <v>1</v>
      </c>
      <c r="G1284" s="3"/>
      <c r="H1284" s="3" t="s">
        <v>9403</v>
      </c>
      <c r="I1284" s="3"/>
      <c r="J1284" s="3"/>
      <c r="K1284" s="3" t="s">
        <v>9320</v>
      </c>
      <c r="L1284" s="3" t="s">
        <v>8390</v>
      </c>
      <c r="M1284" s="4"/>
      <c r="T1284" s="4"/>
      <c r="V1284" s="3"/>
      <c r="W1284" s="3"/>
      <c r="X1284" s="5" t="s">
        <v>9402</v>
      </c>
      <c r="Y1284" s="5"/>
      <c r="Z1284" s="3">
        <v>0</v>
      </c>
      <c r="AA1284" s="3" t="s">
        <v>9249</v>
      </c>
      <c r="AB1284" s="4"/>
      <c r="AE1284" s="3"/>
      <c r="AF1284" s="4"/>
      <c r="AG1284" s="4"/>
      <c r="AH1284" s="4"/>
      <c r="AI1284" s="4"/>
      <c r="AJ1284" s="4"/>
      <c r="AK1284" s="3"/>
      <c r="AL1284" s="3"/>
      <c r="AM1284" s="3"/>
      <c r="AN1284" s="3"/>
      <c r="AO1284" s="4"/>
      <c r="AP1284" s="3"/>
      <c r="AQ1284" s="4"/>
      <c r="AR1284" s="4"/>
      <c r="AS1284" s="4"/>
      <c r="AT1284" s="4"/>
      <c r="AU1284" s="4"/>
      <c r="AV1284" s="4"/>
      <c r="AW1284" s="3"/>
      <c r="AX1284" s="4"/>
      <c r="AY1284" s="4"/>
      <c r="AZ1284" s="3"/>
      <c r="BA1284" s="3"/>
      <c r="BB1284" s="4"/>
      <c r="BC1284" s="4"/>
      <c r="BD1284" s="3"/>
      <c r="BE1284" s="3"/>
      <c r="BF1284" s="3"/>
      <c r="BG1284" s="4"/>
      <c r="BH1284" s="3"/>
      <c r="BI1284" s="4"/>
      <c r="BJ1284" s="4"/>
      <c r="BK1284" s="3"/>
      <c r="BL1284" s="3"/>
      <c r="BM1284" s="4"/>
      <c r="BN1284" s="4"/>
      <c r="BO1284" s="4"/>
      <c r="BP1284" s="4"/>
      <c r="BQ1284" s="4"/>
      <c r="BR1284" s="4"/>
      <c r="BS1284" s="4"/>
      <c r="BT1284" s="4"/>
      <c r="BU1284" s="4"/>
      <c r="BV1284" s="4"/>
      <c r="BW1284" s="4"/>
      <c r="BX1284" s="4"/>
      <c r="BY1284" s="4"/>
      <c r="BZ1284" s="4"/>
      <c r="CA1284" s="4"/>
      <c r="CB1284" s="4"/>
      <c r="CC1284" s="4"/>
      <c r="CD1284" s="4"/>
      <c r="CE1284" s="4"/>
      <c r="CF1284" s="4"/>
      <c r="CG1284" s="4"/>
      <c r="CH1284" s="4"/>
      <c r="CI1284" s="4"/>
      <c r="CJ1284" s="4"/>
      <c r="CK1284" s="4"/>
      <c r="CL1284" s="4"/>
      <c r="CM1284" s="4"/>
      <c r="CN1284" s="4"/>
      <c r="CO1284" s="4"/>
      <c r="CP1284" s="4"/>
      <c r="CQ1284" s="4"/>
      <c r="CR1284" s="4"/>
      <c r="CS1284" s="4"/>
      <c r="CT1284" s="4"/>
      <c r="CU1284" s="4"/>
      <c r="CV1284" s="4"/>
      <c r="CW1284" s="4"/>
      <c r="CX1284" s="4"/>
      <c r="CY1284" s="4"/>
      <c r="CZ1284" s="4"/>
      <c r="DA1284" s="4"/>
      <c r="DB1284" s="4"/>
      <c r="DC1284" s="4"/>
      <c r="DD1284" s="4"/>
      <c r="DE1284" s="3"/>
      <c r="DF1284" s="3"/>
      <c r="DG1284" s="4"/>
      <c r="DH1284" s="4"/>
      <c r="DI1284" s="4"/>
      <c r="DJ1284" s="4"/>
      <c r="DK1284" s="4"/>
      <c r="DL1284" s="4"/>
      <c r="DM1284" s="4"/>
      <c r="DN1284" s="4"/>
      <c r="DO1284" s="4"/>
      <c r="DP1284" s="4"/>
      <c r="DQ1284" s="4"/>
      <c r="DR1284" s="4"/>
      <c r="DS1284" s="4"/>
      <c r="DT1284" s="4"/>
      <c r="DU1284" s="4"/>
      <c r="DV1284" s="4"/>
      <c r="DW1284" s="4"/>
      <c r="DX1284" s="4"/>
      <c r="DY1284" s="4"/>
      <c r="DZ1284" s="4"/>
      <c r="EA1284" s="4"/>
      <c r="EB1284" s="4"/>
      <c r="EC1284" s="4"/>
      <c r="ED1284" s="4"/>
      <c r="EE1284" s="4"/>
      <c r="EF1284" s="4"/>
      <c r="EG1284" s="4"/>
      <c r="EH1284" s="4"/>
      <c r="EI1284" s="4"/>
      <c r="EJ1284" s="4"/>
      <c r="EK1284" s="4"/>
      <c r="EL1284" s="4"/>
      <c r="EM1284" s="4"/>
      <c r="EN1284" s="4"/>
      <c r="EO1284" s="4"/>
      <c r="EP1284" s="4"/>
      <c r="EQ1284" s="4"/>
      <c r="ER1284" s="4"/>
    </row>
    <row r="1285" spans="1:149" hidden="1">
      <c r="A1285" s="11" t="s">
        <v>9940</v>
      </c>
      <c r="B1285" s="3" t="s">
        <v>8386</v>
      </c>
      <c r="C1285" s="3">
        <v>2017</v>
      </c>
      <c r="D1285" s="3" t="s">
        <v>9404</v>
      </c>
      <c r="E1285" s="3" t="s">
        <v>9405</v>
      </c>
      <c r="F1285" s="3">
        <v>1</v>
      </c>
      <c r="G1285" s="3"/>
      <c r="H1285" s="3" t="s">
        <v>9407</v>
      </c>
      <c r="I1285" s="3"/>
      <c r="J1285" s="3"/>
      <c r="K1285" s="3" t="s">
        <v>9320</v>
      </c>
      <c r="L1285" s="3" t="s">
        <v>8390</v>
      </c>
      <c r="M1285" s="4"/>
      <c r="T1285" s="4"/>
      <c r="V1285" s="3"/>
      <c r="W1285" s="3"/>
      <c r="X1285" s="5" t="s">
        <v>9406</v>
      </c>
      <c r="Y1285" s="5"/>
      <c r="Z1285" s="3">
        <v>0</v>
      </c>
      <c r="AA1285" s="3" t="s">
        <v>9249</v>
      </c>
      <c r="AB1285" s="4"/>
      <c r="AE1285" s="3"/>
      <c r="AF1285" s="4"/>
      <c r="AG1285" s="4"/>
      <c r="AH1285" s="4"/>
      <c r="AI1285" s="4"/>
      <c r="AJ1285" s="4"/>
      <c r="AK1285" s="3"/>
      <c r="AL1285" s="3"/>
      <c r="AM1285" s="3"/>
      <c r="AN1285" s="3"/>
      <c r="AO1285" s="4"/>
      <c r="AP1285" s="3"/>
      <c r="AQ1285" s="4"/>
      <c r="AR1285" s="4"/>
      <c r="AS1285" s="4"/>
      <c r="AT1285" s="4"/>
      <c r="AU1285" s="4"/>
      <c r="AV1285" s="4"/>
      <c r="AW1285" s="3"/>
      <c r="AX1285" s="4"/>
      <c r="AY1285" s="4"/>
      <c r="AZ1285" s="3"/>
      <c r="BA1285" s="3"/>
      <c r="BB1285" s="4"/>
      <c r="BC1285" s="4"/>
      <c r="BD1285" s="3"/>
      <c r="BE1285" s="3"/>
      <c r="BF1285" s="3"/>
      <c r="BG1285" s="4"/>
      <c r="BH1285" s="4"/>
      <c r="BI1285" s="4"/>
      <c r="BJ1285" s="4"/>
      <c r="BK1285" s="4"/>
      <c r="BL1285" s="3"/>
      <c r="BM1285" s="3"/>
      <c r="BN1285" s="4"/>
      <c r="BO1285" s="4"/>
      <c r="BP1285" s="4"/>
      <c r="BQ1285" s="4"/>
      <c r="BR1285" s="4"/>
      <c r="BS1285" s="4"/>
      <c r="BT1285" s="4"/>
      <c r="BU1285" s="4"/>
      <c r="BV1285" s="4"/>
      <c r="BW1285" s="4"/>
      <c r="BX1285" s="4"/>
      <c r="BY1285" s="4"/>
      <c r="BZ1285" s="4"/>
      <c r="CA1285" s="4"/>
      <c r="CB1285" s="4"/>
      <c r="CC1285" s="4"/>
      <c r="CD1285" s="4"/>
      <c r="CE1285" s="4"/>
      <c r="CF1285" s="4"/>
      <c r="CG1285" s="4"/>
      <c r="CH1285" s="4"/>
      <c r="CI1285" s="4"/>
      <c r="CJ1285" s="4"/>
      <c r="CK1285" s="4"/>
      <c r="CL1285" s="4"/>
      <c r="CM1285" s="4"/>
      <c r="CN1285" s="4"/>
      <c r="CO1285" s="4"/>
      <c r="CP1285" s="4"/>
      <c r="CQ1285" s="4"/>
      <c r="CR1285" s="4"/>
      <c r="CS1285" s="4"/>
      <c r="CT1285" s="4"/>
      <c r="CU1285" s="4"/>
      <c r="CV1285" s="4"/>
      <c r="CW1285" s="4"/>
      <c r="CX1285" s="4"/>
      <c r="CY1285" s="4"/>
      <c r="CZ1285" s="4"/>
      <c r="DA1285" s="4"/>
      <c r="DB1285" s="4"/>
      <c r="DC1285" s="4"/>
      <c r="DD1285" s="4"/>
      <c r="DE1285" s="4"/>
      <c r="DF1285" s="3"/>
      <c r="DG1285" s="3"/>
      <c r="DH1285" s="4"/>
      <c r="DI1285" s="4"/>
      <c r="DJ1285" s="4"/>
      <c r="DK1285" s="4"/>
      <c r="DL1285" s="4"/>
      <c r="DM1285" s="4"/>
      <c r="DN1285" s="4"/>
      <c r="DO1285" s="4"/>
      <c r="DP1285" s="4"/>
      <c r="DQ1285" s="4"/>
      <c r="DR1285" s="4"/>
      <c r="DS1285" s="4"/>
      <c r="DT1285" s="4"/>
      <c r="DU1285" s="4"/>
      <c r="DV1285" s="4"/>
      <c r="DW1285" s="4"/>
      <c r="DX1285" s="4"/>
      <c r="DY1285" s="4"/>
      <c r="DZ1285" s="4"/>
      <c r="EA1285" s="4"/>
      <c r="EB1285" s="4"/>
      <c r="EC1285" s="4"/>
      <c r="ED1285" s="4"/>
      <c r="EE1285" s="4"/>
      <c r="EF1285" s="4"/>
      <c r="EG1285" s="4"/>
      <c r="EH1285" s="4"/>
      <c r="EI1285" s="4"/>
      <c r="EJ1285" s="4"/>
      <c r="EK1285" s="4"/>
      <c r="EL1285" s="4"/>
      <c r="EM1285" s="4"/>
      <c r="EN1285" s="4"/>
      <c r="EO1285" s="4"/>
      <c r="EP1285" s="4"/>
      <c r="EQ1285" s="4"/>
      <c r="ER1285" s="4"/>
      <c r="ES1285" s="4"/>
    </row>
    <row r="1286" spans="1:149" hidden="1">
      <c r="A1286" s="11" t="s">
        <v>9940</v>
      </c>
      <c r="B1286" s="3" t="s">
        <v>8373</v>
      </c>
      <c r="C1286" s="3">
        <v>2019</v>
      </c>
      <c r="D1286" s="3" t="s">
        <v>6196</v>
      </c>
      <c r="E1286" s="3" t="s">
        <v>9408</v>
      </c>
      <c r="F1286" s="3">
        <v>1</v>
      </c>
      <c r="G1286" s="3"/>
      <c r="H1286" s="3" t="s">
        <v>6200</v>
      </c>
      <c r="I1286" s="3"/>
      <c r="J1286" s="3"/>
      <c r="K1286" s="3" t="s">
        <v>4665</v>
      </c>
      <c r="L1286" s="4"/>
      <c r="M1286" s="3" t="s">
        <v>9409</v>
      </c>
      <c r="T1286" s="3" t="s">
        <v>6198</v>
      </c>
      <c r="V1286" s="3"/>
      <c r="W1286" s="3"/>
      <c r="X1286" s="5" t="s">
        <v>6201</v>
      </c>
      <c r="Y1286" s="5"/>
      <c r="Z1286" s="3">
        <v>0</v>
      </c>
      <c r="AA1286" s="3" t="s">
        <v>9237</v>
      </c>
      <c r="AB1286" s="4"/>
      <c r="AE1286" s="3"/>
      <c r="AF1286" s="4"/>
      <c r="AG1286" s="4"/>
      <c r="AH1286" s="4"/>
      <c r="AI1286" s="4"/>
      <c r="AJ1286" s="4"/>
      <c r="AK1286" s="3"/>
      <c r="AL1286" s="3"/>
      <c r="AM1286" s="3"/>
      <c r="AN1286" s="3"/>
      <c r="AO1286" s="4"/>
      <c r="AP1286" s="3"/>
      <c r="AQ1286" s="4"/>
      <c r="AR1286" s="4"/>
      <c r="AS1286" s="3"/>
      <c r="AT1286" s="4"/>
      <c r="AU1286" s="3"/>
      <c r="AV1286" s="4"/>
      <c r="AW1286" s="4"/>
      <c r="AX1286" s="4"/>
      <c r="AY1286" s="4"/>
      <c r="AZ1286" s="4"/>
      <c r="BA1286" s="4"/>
      <c r="BB1286" s="4"/>
      <c r="BC1286" s="4"/>
      <c r="BD1286" s="4"/>
      <c r="BE1286" s="4"/>
      <c r="BF1286" s="3"/>
      <c r="BG1286" s="3"/>
      <c r="BH1286" s="3"/>
      <c r="BI1286" s="4"/>
      <c r="BJ1286" s="3"/>
      <c r="BK1286" s="4"/>
      <c r="BL1286" s="4"/>
      <c r="BM1286" s="3"/>
      <c r="BN1286" s="4"/>
      <c r="BO1286" s="4"/>
      <c r="BP1286" s="4"/>
      <c r="BQ1286" s="4"/>
      <c r="BR1286" s="4"/>
      <c r="BS1286" s="4"/>
      <c r="BT1286" s="4"/>
      <c r="BU1286" s="4"/>
      <c r="BV1286" s="4"/>
      <c r="BW1286" s="4"/>
      <c r="BX1286" s="4"/>
      <c r="BY1286" s="4"/>
      <c r="BZ1286" s="4"/>
      <c r="CA1286" s="4"/>
      <c r="CB1286" s="4"/>
      <c r="CC1286" s="4"/>
      <c r="CD1286" s="4"/>
      <c r="CE1286" s="4"/>
      <c r="CF1286" s="4"/>
      <c r="CG1286" s="4"/>
      <c r="CH1286" s="4"/>
      <c r="CI1286" s="4"/>
      <c r="CJ1286" s="4"/>
      <c r="CK1286" s="4"/>
      <c r="CL1286" s="4"/>
      <c r="CM1286" s="4"/>
      <c r="CN1286" s="4"/>
      <c r="CO1286" s="4"/>
      <c r="CP1286" s="4"/>
      <c r="CQ1286" s="4"/>
      <c r="CR1286" s="4"/>
      <c r="CS1286" s="4"/>
      <c r="CT1286" s="4"/>
      <c r="CU1286" s="4"/>
      <c r="CV1286" s="4"/>
      <c r="CW1286" s="4"/>
      <c r="CX1286" s="4"/>
      <c r="CY1286" s="4"/>
      <c r="CZ1286" s="4"/>
      <c r="DA1286" s="4"/>
      <c r="DB1286" s="3"/>
      <c r="DC1286" s="3"/>
      <c r="DD1286" s="4"/>
      <c r="DE1286" s="4"/>
      <c r="DF1286" s="4"/>
      <c r="DG1286" s="4"/>
      <c r="DH1286" s="4"/>
      <c r="DI1286" s="4"/>
      <c r="DJ1286" s="4"/>
      <c r="DK1286" s="4"/>
      <c r="DL1286" s="4"/>
      <c r="DM1286" s="4"/>
      <c r="DN1286" s="4"/>
      <c r="DO1286" s="4"/>
      <c r="DP1286" s="4"/>
      <c r="DQ1286" s="4"/>
      <c r="DR1286" s="4"/>
      <c r="DS1286" s="4"/>
      <c r="DT1286" s="4"/>
      <c r="DU1286" s="4"/>
      <c r="DV1286" s="4"/>
      <c r="DW1286" s="4"/>
      <c r="DX1286" s="4"/>
      <c r="DY1286" s="4"/>
      <c r="DZ1286" s="4"/>
      <c r="EA1286" s="4"/>
      <c r="EB1286" s="4"/>
      <c r="EC1286" s="4"/>
      <c r="ED1286" s="4"/>
      <c r="EE1286" s="4"/>
      <c r="EF1286" s="4"/>
      <c r="EG1286" s="4"/>
      <c r="EH1286" s="4"/>
      <c r="EI1286" s="4"/>
      <c r="EJ1286" s="4"/>
      <c r="EK1286" s="4"/>
      <c r="EL1286" s="4"/>
      <c r="EM1286" s="4"/>
      <c r="EN1286" s="4"/>
      <c r="EO1286" s="4"/>
    </row>
    <row r="1287" spans="1:149" hidden="1">
      <c r="A1287" s="11" t="s">
        <v>9940</v>
      </c>
      <c r="B1287" s="3" t="s">
        <v>8373</v>
      </c>
      <c r="C1287" s="3">
        <v>2015</v>
      </c>
      <c r="D1287" s="3" t="s">
        <v>6253</v>
      </c>
      <c r="E1287" s="3" t="s">
        <v>9410</v>
      </c>
      <c r="F1287" s="3">
        <v>1</v>
      </c>
      <c r="G1287" s="3"/>
      <c r="H1287" s="3" t="s">
        <v>9412</v>
      </c>
      <c r="I1287" s="3"/>
      <c r="J1287" s="3"/>
      <c r="K1287" s="3" t="s">
        <v>551</v>
      </c>
      <c r="L1287" s="4"/>
      <c r="M1287" s="3" t="s">
        <v>9411</v>
      </c>
      <c r="T1287" s="4"/>
      <c r="V1287" s="3"/>
      <c r="W1287" s="3"/>
      <c r="X1287" s="5" t="s">
        <v>6258</v>
      </c>
      <c r="Y1287" s="5"/>
      <c r="Z1287" s="3">
        <v>0</v>
      </c>
      <c r="AA1287" s="3" t="s">
        <v>9245</v>
      </c>
      <c r="AB1287" s="3"/>
      <c r="AE1287" s="3"/>
      <c r="AF1287" s="4"/>
      <c r="AG1287" s="4"/>
      <c r="AH1287" s="4"/>
      <c r="AI1287" s="4"/>
      <c r="AJ1287" s="4"/>
      <c r="AK1287" s="3"/>
      <c r="AL1287" s="7"/>
      <c r="AM1287" s="3"/>
      <c r="AN1287" s="3"/>
      <c r="AO1287" s="4"/>
      <c r="AP1287" s="4"/>
      <c r="AQ1287" s="4"/>
      <c r="AR1287" s="4"/>
      <c r="AS1287" s="3"/>
      <c r="AT1287" s="4"/>
      <c r="AU1287" s="3"/>
      <c r="AV1287" s="4"/>
      <c r="AW1287" s="4"/>
      <c r="AX1287" s="4"/>
      <c r="AY1287" s="4"/>
      <c r="AZ1287" s="4"/>
      <c r="BA1287" s="4"/>
      <c r="BB1287" s="4"/>
      <c r="BC1287" s="4"/>
      <c r="BD1287" s="4"/>
      <c r="BE1287" s="4"/>
      <c r="BF1287" s="3"/>
      <c r="BG1287" s="3"/>
      <c r="BH1287" s="3"/>
      <c r="BI1287" s="4"/>
      <c r="BJ1287" s="3"/>
      <c r="BK1287" s="4"/>
      <c r="BL1287" s="4"/>
      <c r="BM1287" s="3"/>
      <c r="BN1287" s="4"/>
      <c r="BO1287" s="4"/>
      <c r="BP1287" s="4"/>
      <c r="BQ1287" s="4"/>
      <c r="BR1287" s="4"/>
      <c r="BS1287" s="4"/>
      <c r="BT1287" s="4"/>
      <c r="BU1287" s="4"/>
      <c r="BV1287" s="4"/>
      <c r="BW1287" s="4"/>
      <c r="BX1287" s="4"/>
      <c r="BY1287" s="4"/>
      <c r="BZ1287" s="4"/>
      <c r="CA1287" s="4"/>
      <c r="CB1287" s="4"/>
      <c r="CC1287" s="4"/>
      <c r="CD1287" s="4"/>
      <c r="CE1287" s="4"/>
      <c r="CF1287" s="4"/>
      <c r="CG1287" s="4"/>
      <c r="CH1287" s="4"/>
      <c r="CI1287" s="4"/>
      <c r="CJ1287" s="4"/>
      <c r="CK1287" s="4"/>
      <c r="CL1287" s="4"/>
      <c r="CM1287" s="4"/>
      <c r="CN1287" s="4"/>
      <c r="CO1287" s="4"/>
      <c r="CP1287" s="4"/>
      <c r="CQ1287" s="4"/>
      <c r="CR1287" s="4"/>
      <c r="CS1287" s="4"/>
      <c r="CT1287" s="4"/>
      <c r="CU1287" s="4"/>
      <c r="CV1287" s="4"/>
      <c r="CW1287" s="4"/>
      <c r="CX1287" s="4"/>
      <c r="CY1287" s="4"/>
      <c r="CZ1287" s="4"/>
      <c r="DA1287" s="3"/>
      <c r="DB1287" s="3"/>
      <c r="DC1287" s="4"/>
      <c r="DD1287" s="4"/>
      <c r="DE1287" s="4"/>
      <c r="DF1287" s="4"/>
      <c r="DG1287" s="4"/>
      <c r="DH1287" s="4"/>
      <c r="DI1287" s="4"/>
      <c r="DJ1287" s="4"/>
      <c r="DK1287" s="4"/>
      <c r="DL1287" s="4"/>
      <c r="DM1287" s="4"/>
      <c r="DN1287" s="4"/>
      <c r="DO1287" s="4"/>
      <c r="DP1287" s="4"/>
      <c r="DQ1287" s="4"/>
      <c r="DR1287" s="4"/>
      <c r="DS1287" s="4"/>
      <c r="DT1287" s="4"/>
      <c r="DU1287" s="4"/>
      <c r="DV1287" s="4"/>
      <c r="DW1287" s="4"/>
      <c r="DX1287" s="4"/>
      <c r="DY1287" s="4"/>
      <c r="DZ1287" s="4"/>
      <c r="EA1287" s="4"/>
      <c r="EB1287" s="4"/>
      <c r="EC1287" s="4"/>
      <c r="ED1287" s="4"/>
      <c r="EE1287" s="4"/>
      <c r="EF1287" s="4"/>
      <c r="EG1287" s="4"/>
      <c r="EH1287" s="4"/>
      <c r="EI1287" s="4"/>
      <c r="EJ1287" s="4"/>
      <c r="EK1287" s="4"/>
      <c r="EL1287" s="4"/>
      <c r="EM1287" s="4"/>
      <c r="EN1287" s="4"/>
    </row>
    <row r="1288" spans="1:149" hidden="1">
      <c r="A1288" s="11" t="s">
        <v>9940</v>
      </c>
      <c r="B1288" s="3" t="s">
        <v>8373</v>
      </c>
      <c r="C1288" s="3">
        <v>2011</v>
      </c>
      <c r="D1288" s="3" t="s">
        <v>7617</v>
      </c>
      <c r="E1288" s="3" t="s">
        <v>9413</v>
      </c>
      <c r="F1288" s="3">
        <v>1</v>
      </c>
      <c r="G1288" s="3"/>
      <c r="H1288" s="3" t="s">
        <v>7621</v>
      </c>
      <c r="I1288" s="3"/>
      <c r="J1288" s="3"/>
      <c r="K1288" s="3" t="s">
        <v>1160</v>
      </c>
      <c r="L1288" s="4"/>
      <c r="M1288" s="3" t="s">
        <v>8692</v>
      </c>
      <c r="T1288" s="3" t="s">
        <v>7619</v>
      </c>
      <c r="V1288" s="3"/>
      <c r="W1288" s="3"/>
      <c r="X1288" s="5" t="s">
        <v>7622</v>
      </c>
      <c r="Y1288" s="5"/>
      <c r="Z1288" s="3">
        <v>0</v>
      </c>
      <c r="AA1288" s="3" t="s">
        <v>9237</v>
      </c>
      <c r="AB1288" s="3"/>
      <c r="AE1288" s="3"/>
      <c r="AF1288" s="4"/>
      <c r="AG1288" s="4"/>
      <c r="AH1288" s="4"/>
      <c r="AI1288" s="4"/>
      <c r="AJ1288" s="4"/>
      <c r="AK1288" s="3"/>
      <c r="AL1288" s="3"/>
      <c r="AM1288" s="3"/>
      <c r="AN1288" s="3"/>
      <c r="AO1288" s="4"/>
      <c r="AP1288" s="3"/>
      <c r="AQ1288" s="4"/>
      <c r="AR1288" s="3"/>
      <c r="AS1288" s="3"/>
      <c r="AT1288" s="4"/>
      <c r="AU1288" s="3"/>
      <c r="AV1288" s="4"/>
      <c r="AW1288" s="4"/>
      <c r="AX1288" s="4"/>
      <c r="AY1288" s="4"/>
      <c r="AZ1288" s="4"/>
      <c r="BA1288" s="4"/>
      <c r="BB1288" s="4"/>
      <c r="BC1288" s="4"/>
      <c r="BD1288" s="4"/>
      <c r="BE1288" s="4"/>
      <c r="BF1288" s="3"/>
      <c r="BG1288" s="3"/>
      <c r="BH1288" s="3"/>
      <c r="BI1288" s="4"/>
      <c r="BJ1288" s="3"/>
      <c r="BK1288" s="4"/>
      <c r="BL1288" s="4"/>
      <c r="BM1288" s="4"/>
      <c r="BN1288" s="3"/>
      <c r="BO1288" s="4"/>
      <c r="BP1288" s="4"/>
      <c r="BQ1288" s="4"/>
      <c r="BR1288" s="4"/>
      <c r="BS1288" s="4"/>
      <c r="BT1288" s="4"/>
      <c r="BU1288" s="4"/>
      <c r="BV1288" s="4"/>
      <c r="BW1288" s="4"/>
      <c r="BX1288" s="4"/>
      <c r="BY1288" s="4"/>
      <c r="BZ1288" s="4"/>
      <c r="CA1288" s="4"/>
      <c r="CB1288" s="4"/>
      <c r="CC1288" s="4"/>
      <c r="CD1288" s="4"/>
      <c r="CE1288" s="4"/>
      <c r="CF1288" s="4"/>
      <c r="CG1288" s="4"/>
      <c r="CH1288" s="4"/>
      <c r="CI1288" s="4"/>
      <c r="CJ1288" s="4"/>
      <c r="CK1288" s="4"/>
      <c r="CL1288" s="4"/>
      <c r="CM1288" s="3"/>
      <c r="CN1288" s="3"/>
      <c r="CO1288" s="4"/>
      <c r="CP1288" s="4"/>
      <c r="CQ1288" s="4"/>
      <c r="CR1288" s="4"/>
      <c r="CS1288" s="4"/>
      <c r="CT1288" s="4"/>
      <c r="CU1288" s="4"/>
      <c r="CV1288" s="4"/>
      <c r="CW1288" s="4"/>
      <c r="CX1288" s="4"/>
      <c r="CY1288" s="4"/>
      <c r="CZ1288" s="4"/>
      <c r="DA1288" s="4"/>
      <c r="DB1288" s="4"/>
      <c r="DC1288" s="4"/>
      <c r="DD1288" s="4"/>
      <c r="DE1288" s="4"/>
      <c r="DF1288" s="4"/>
      <c r="DG1288" s="4"/>
      <c r="DH1288" s="4"/>
      <c r="DI1288" s="4"/>
      <c r="DJ1288" s="4"/>
      <c r="DK1288" s="4"/>
      <c r="DL1288" s="4"/>
      <c r="DM1288" s="4"/>
      <c r="DN1288" s="4"/>
      <c r="DO1288" s="4"/>
      <c r="DP1288" s="4"/>
      <c r="DQ1288" s="4"/>
      <c r="DR1288" s="4"/>
      <c r="DS1288" s="4"/>
      <c r="DT1288" s="4"/>
      <c r="DU1288" s="4"/>
      <c r="DV1288" s="4"/>
      <c r="DW1288" s="4"/>
      <c r="DX1288" s="4"/>
      <c r="DY1288" s="4"/>
      <c r="DZ1288" s="4"/>
    </row>
    <row r="1289" spans="1:149" hidden="1">
      <c r="A1289" s="11" t="s">
        <v>9940</v>
      </c>
      <c r="B1289" s="3" t="s">
        <v>8373</v>
      </c>
      <c r="C1289" s="3">
        <v>2015</v>
      </c>
      <c r="D1289" s="3" t="s">
        <v>4853</v>
      </c>
      <c r="E1289" s="3" t="s">
        <v>9414</v>
      </c>
      <c r="F1289" s="3">
        <v>1</v>
      </c>
      <c r="G1289" s="3"/>
      <c r="H1289" s="3" t="s">
        <v>9416</v>
      </c>
      <c r="I1289" s="3"/>
      <c r="J1289" s="3"/>
      <c r="K1289" s="3" t="s">
        <v>4854</v>
      </c>
      <c r="L1289" s="4"/>
      <c r="M1289" s="3" t="s">
        <v>9415</v>
      </c>
      <c r="T1289" s="4"/>
      <c r="V1289" s="3"/>
      <c r="W1289" s="3"/>
      <c r="X1289" s="5" t="s">
        <v>4858</v>
      </c>
      <c r="Y1289" s="5"/>
      <c r="Z1289" s="3">
        <v>0</v>
      </c>
      <c r="AA1289" s="3" t="s">
        <v>9265</v>
      </c>
      <c r="AB1289" s="3"/>
      <c r="AE1289" s="3"/>
      <c r="AF1289" s="4"/>
      <c r="AG1289" s="4"/>
      <c r="AH1289" s="4"/>
      <c r="AI1289" s="4"/>
      <c r="AJ1289" s="4"/>
      <c r="AK1289" s="3"/>
      <c r="AL1289" s="3"/>
      <c r="AM1289" s="3"/>
      <c r="AN1289" s="3"/>
      <c r="AO1289" s="4"/>
      <c r="AP1289" s="3"/>
      <c r="AQ1289" s="4"/>
      <c r="AR1289" s="3"/>
      <c r="AS1289" s="3"/>
      <c r="AT1289" s="4"/>
      <c r="AU1289" s="3"/>
      <c r="AV1289" s="4"/>
      <c r="AW1289" s="4"/>
      <c r="AX1289" s="4"/>
      <c r="AY1289" s="4"/>
      <c r="AZ1289" s="4"/>
      <c r="BA1289" s="4"/>
      <c r="BB1289" s="4"/>
      <c r="BC1289" s="4"/>
      <c r="BD1289" s="4"/>
      <c r="BE1289" s="4"/>
      <c r="BF1289" s="3"/>
      <c r="BG1289" s="3"/>
      <c r="BH1289" s="3"/>
      <c r="BI1289" s="4"/>
      <c r="BJ1289" s="3"/>
      <c r="BK1289" s="4"/>
      <c r="BL1289" s="4"/>
      <c r="BM1289" s="3"/>
      <c r="BN1289" s="4"/>
      <c r="BO1289" s="4"/>
      <c r="BP1289" s="4"/>
      <c r="BQ1289" s="4"/>
      <c r="BR1289" s="4"/>
      <c r="BS1289" s="4"/>
      <c r="BT1289" s="4"/>
      <c r="BU1289" s="4"/>
      <c r="BV1289" s="4"/>
      <c r="BW1289" s="4"/>
      <c r="BX1289" s="4"/>
      <c r="BY1289" s="4"/>
      <c r="BZ1289" s="4"/>
      <c r="CA1289" s="4"/>
      <c r="CB1289" s="4"/>
      <c r="CC1289" s="4"/>
      <c r="CD1289" s="4"/>
      <c r="CE1289" s="4"/>
      <c r="CF1289" s="4"/>
      <c r="CG1289" s="4"/>
      <c r="CH1289" s="4"/>
      <c r="CI1289" s="4"/>
      <c r="CJ1289" s="4"/>
      <c r="CK1289" s="4"/>
      <c r="CL1289" s="4"/>
      <c r="CM1289" s="4"/>
      <c r="CN1289" s="4"/>
      <c r="CO1289" s="4"/>
      <c r="CP1289" s="4"/>
      <c r="CQ1289" s="4"/>
      <c r="CR1289" s="4"/>
      <c r="CS1289" s="4"/>
      <c r="CT1289" s="4"/>
      <c r="CU1289" s="4"/>
      <c r="CV1289" s="4"/>
      <c r="CW1289" s="4"/>
      <c r="CX1289" s="4"/>
      <c r="CY1289" s="4"/>
      <c r="CZ1289" s="4"/>
      <c r="DA1289" s="4"/>
      <c r="DB1289" s="4"/>
      <c r="DC1289" s="4"/>
      <c r="DD1289" s="4"/>
      <c r="DE1289" s="3"/>
      <c r="DF1289" s="3"/>
      <c r="DG1289" s="4"/>
      <c r="DH1289" s="4"/>
      <c r="DI1289" s="4"/>
      <c r="DJ1289" s="4"/>
      <c r="DK1289" s="4"/>
      <c r="DL1289" s="4"/>
      <c r="DM1289" s="4"/>
      <c r="DN1289" s="4"/>
      <c r="DO1289" s="4"/>
      <c r="DP1289" s="4"/>
      <c r="DQ1289" s="4"/>
      <c r="DR1289" s="4"/>
      <c r="DS1289" s="4"/>
      <c r="DT1289" s="4"/>
      <c r="DU1289" s="4"/>
      <c r="DV1289" s="4"/>
      <c r="DW1289" s="4"/>
      <c r="DX1289" s="4"/>
      <c r="DY1289" s="4"/>
      <c r="DZ1289" s="4"/>
      <c r="EA1289" s="4"/>
      <c r="EB1289" s="4"/>
      <c r="EC1289" s="4"/>
      <c r="ED1289" s="4"/>
      <c r="EE1289" s="4"/>
      <c r="EF1289" s="4"/>
      <c r="EG1289" s="4"/>
      <c r="EH1289" s="4"/>
      <c r="EI1289" s="4"/>
      <c r="EJ1289" s="4"/>
      <c r="EK1289" s="4"/>
      <c r="EL1289" s="4"/>
      <c r="EM1289" s="4"/>
      <c r="EN1289" s="4"/>
      <c r="EO1289" s="4"/>
      <c r="EP1289" s="4"/>
      <c r="EQ1289" s="4"/>
      <c r="ER1289" s="4"/>
    </row>
    <row r="1290" spans="1:149" hidden="1">
      <c r="A1290" s="11" t="s">
        <v>9940</v>
      </c>
      <c r="B1290" s="3" t="s">
        <v>8373</v>
      </c>
      <c r="C1290" s="3">
        <v>2013</v>
      </c>
      <c r="D1290" s="3" t="s">
        <v>9417</v>
      </c>
      <c r="E1290" s="3" t="s">
        <v>9418</v>
      </c>
      <c r="F1290" s="3">
        <v>1</v>
      </c>
      <c r="G1290" s="3"/>
      <c r="H1290" s="3" t="s">
        <v>9419</v>
      </c>
      <c r="I1290" s="3"/>
      <c r="J1290" s="3"/>
      <c r="K1290" s="3" t="s">
        <v>40</v>
      </c>
      <c r="L1290" s="4"/>
      <c r="M1290" s="3" t="s">
        <v>8500</v>
      </c>
      <c r="T1290" s="3" t="s">
        <v>1189</v>
      </c>
      <c r="V1290" s="3"/>
      <c r="W1290" s="3"/>
      <c r="X1290" s="5" t="s">
        <v>1192</v>
      </c>
      <c r="Y1290" s="5"/>
      <c r="Z1290" s="3">
        <v>0</v>
      </c>
      <c r="AA1290" s="3" t="s">
        <v>9265</v>
      </c>
      <c r="AB1290" s="4"/>
      <c r="AE1290" s="3"/>
      <c r="AF1290" s="4"/>
      <c r="AG1290" s="4"/>
      <c r="AH1290" s="4"/>
      <c r="AI1290" s="4"/>
      <c r="AJ1290" s="4"/>
      <c r="AK1290" s="3"/>
      <c r="AL1290" s="3"/>
      <c r="AM1290" s="3"/>
      <c r="AN1290" s="3"/>
      <c r="AO1290" s="4"/>
      <c r="AP1290" s="3"/>
      <c r="AQ1290" s="4"/>
      <c r="AR1290" s="3"/>
      <c r="AS1290" s="3"/>
      <c r="AT1290" s="4"/>
      <c r="AU1290" s="3"/>
      <c r="AV1290" s="4"/>
      <c r="AW1290" s="4"/>
      <c r="AX1290" s="4"/>
      <c r="AY1290" s="4"/>
      <c r="AZ1290" s="4"/>
      <c r="BA1290" s="4"/>
      <c r="BB1290" s="4"/>
      <c r="BC1290" s="4"/>
      <c r="BD1290" s="4"/>
      <c r="BE1290" s="4"/>
      <c r="BF1290" s="3"/>
      <c r="BG1290" s="3"/>
      <c r="BH1290" s="3"/>
      <c r="BI1290" s="4"/>
      <c r="BJ1290" s="3"/>
      <c r="BK1290" s="4"/>
      <c r="BL1290" s="4"/>
      <c r="BM1290" s="4"/>
      <c r="BN1290" s="3"/>
      <c r="BO1290" s="4"/>
      <c r="BP1290" s="4"/>
      <c r="BQ1290" s="4"/>
      <c r="BR1290" s="4"/>
      <c r="BS1290" s="4"/>
      <c r="BT1290" s="4"/>
      <c r="BU1290" s="4"/>
      <c r="BV1290" s="4"/>
      <c r="BW1290" s="4"/>
      <c r="BX1290" s="4"/>
      <c r="BY1290" s="4"/>
      <c r="BZ1290" s="4"/>
      <c r="CA1290" s="4"/>
      <c r="CB1290" s="4"/>
      <c r="CC1290" s="4"/>
      <c r="CD1290" s="4"/>
      <c r="CE1290" s="4"/>
      <c r="CF1290" s="4"/>
      <c r="CG1290" s="4"/>
      <c r="CH1290" s="4"/>
      <c r="CI1290" s="4"/>
      <c r="CJ1290" s="4"/>
      <c r="CK1290" s="4"/>
      <c r="CL1290" s="4"/>
      <c r="CM1290" s="4"/>
      <c r="CN1290" s="4"/>
      <c r="CO1290" s="4"/>
      <c r="CP1290" s="4"/>
      <c r="CQ1290" s="4"/>
      <c r="CR1290" s="4"/>
      <c r="CS1290" s="4"/>
      <c r="CT1290" s="3"/>
      <c r="CU1290" s="3"/>
      <c r="CV1290" s="4"/>
      <c r="CW1290" s="4"/>
      <c r="CX1290" s="4"/>
      <c r="CY1290" s="4"/>
      <c r="CZ1290" s="4"/>
      <c r="DA1290" s="4"/>
      <c r="DB1290" s="4"/>
      <c r="DC1290" s="4"/>
      <c r="DD1290" s="4"/>
      <c r="DE1290" s="4"/>
      <c r="DF1290" s="4"/>
      <c r="DG1290" s="4"/>
      <c r="DH1290" s="4"/>
      <c r="DI1290" s="4"/>
      <c r="DJ1290" s="4"/>
      <c r="DK1290" s="4"/>
      <c r="DL1290" s="4"/>
      <c r="DM1290" s="4"/>
      <c r="DN1290" s="4"/>
      <c r="DO1290" s="4"/>
      <c r="DP1290" s="4"/>
      <c r="DQ1290" s="4"/>
      <c r="DR1290" s="4"/>
      <c r="DS1290" s="4"/>
      <c r="DT1290" s="4"/>
      <c r="DU1290" s="4"/>
      <c r="DV1290" s="4"/>
      <c r="DW1290" s="4"/>
      <c r="DX1290" s="4"/>
      <c r="DY1290" s="4"/>
      <c r="DZ1290" s="4"/>
      <c r="EA1290" s="4"/>
      <c r="EB1290" s="4"/>
      <c r="EC1290" s="4"/>
      <c r="ED1290" s="4"/>
      <c r="EE1290" s="4"/>
      <c r="EF1290" s="4"/>
      <c r="EG1290" s="4"/>
    </row>
    <row r="1291" spans="1:149" hidden="1">
      <c r="A1291" s="11" t="s">
        <v>9940</v>
      </c>
      <c r="B1291" s="3" t="s">
        <v>8386</v>
      </c>
      <c r="C1291" s="3">
        <v>2017</v>
      </c>
      <c r="D1291" s="3" t="s">
        <v>8660</v>
      </c>
      <c r="E1291" s="3" t="s">
        <v>8661</v>
      </c>
      <c r="F1291" s="3">
        <v>1</v>
      </c>
      <c r="G1291" s="3"/>
      <c r="H1291" s="3" t="s">
        <v>8663</v>
      </c>
      <c r="I1291" s="3"/>
      <c r="J1291" s="3"/>
      <c r="K1291" s="3" t="s">
        <v>8389</v>
      </c>
      <c r="L1291" s="3" t="s">
        <v>8390</v>
      </c>
      <c r="M1291" s="4"/>
      <c r="T1291" s="4"/>
      <c r="V1291" s="3"/>
      <c r="W1291" s="4"/>
      <c r="X1291" s="5" t="s">
        <v>8662</v>
      </c>
      <c r="Y1291" s="5"/>
      <c r="Z1291" s="3">
        <v>1</v>
      </c>
      <c r="AA1291" s="4"/>
      <c r="AB1291" s="3"/>
      <c r="AE1291" s="3"/>
      <c r="AF1291" s="3"/>
      <c r="AG1291" s="4"/>
      <c r="AH1291" s="3"/>
      <c r="AI1291" s="4"/>
      <c r="AJ1291" s="4"/>
      <c r="AK1291" s="3"/>
      <c r="AL1291" s="3"/>
      <c r="AM1291" s="3"/>
      <c r="AN1291" s="3"/>
      <c r="AO1291" s="4"/>
      <c r="AP1291" s="3"/>
      <c r="AQ1291" s="4"/>
      <c r="AR1291" s="4"/>
      <c r="AS1291" s="4"/>
      <c r="AT1291" s="4"/>
      <c r="AU1291" s="4"/>
      <c r="AV1291" s="4"/>
      <c r="AW1291" s="3"/>
      <c r="AX1291" s="4"/>
      <c r="AY1291" s="4"/>
      <c r="AZ1291" s="3"/>
      <c r="BA1291" s="3"/>
      <c r="BB1291" s="4"/>
      <c r="BC1291" s="4"/>
      <c r="BD1291" s="3"/>
      <c r="BE1291" s="3"/>
      <c r="BF1291" s="3"/>
      <c r="BG1291" s="4"/>
      <c r="BH1291" s="3"/>
      <c r="BI1291" s="4"/>
      <c r="BJ1291" s="4"/>
      <c r="BK1291" s="3"/>
      <c r="BL1291" s="3"/>
      <c r="BM1291" s="4"/>
      <c r="BN1291" s="4"/>
      <c r="BO1291" s="4"/>
      <c r="BP1291" s="4"/>
      <c r="BQ1291" s="4"/>
      <c r="BR1291" s="4"/>
      <c r="BS1291" s="4"/>
      <c r="BT1291" s="4"/>
      <c r="BU1291" s="4"/>
      <c r="BV1291" s="4"/>
      <c r="BW1291" s="4"/>
      <c r="BX1291" s="4"/>
      <c r="BY1291" s="4"/>
      <c r="BZ1291" s="4"/>
      <c r="CA1291" s="4"/>
      <c r="CB1291" s="4"/>
      <c r="CC1291" s="4"/>
      <c r="CD1291" s="4"/>
      <c r="CE1291" s="4"/>
      <c r="CF1291" s="4"/>
      <c r="CG1291" s="4"/>
      <c r="CH1291" s="4"/>
      <c r="CI1291" s="4"/>
      <c r="CJ1291" s="4"/>
      <c r="CK1291" s="4"/>
      <c r="CL1291" s="4"/>
      <c r="CM1291" s="4"/>
      <c r="CN1291" s="4"/>
      <c r="CO1291" s="4"/>
      <c r="CP1291" s="4"/>
      <c r="CQ1291" s="4"/>
      <c r="CR1291" s="4"/>
      <c r="CS1291" s="4"/>
      <c r="CT1291" s="4"/>
      <c r="CU1291" s="4"/>
      <c r="CV1291" s="4"/>
      <c r="CW1291" s="4"/>
      <c r="CX1291" s="4"/>
      <c r="CY1291" s="4"/>
      <c r="CZ1291" s="4"/>
      <c r="DA1291" s="4"/>
      <c r="DB1291" s="4"/>
      <c r="DC1291" s="4"/>
      <c r="DD1291" s="4"/>
      <c r="DE1291" s="3"/>
      <c r="DF1291" s="3"/>
      <c r="DG1291" s="3"/>
      <c r="DH1291" s="4"/>
      <c r="DI1291" s="4"/>
      <c r="DJ1291" s="4"/>
      <c r="DK1291" s="4"/>
      <c r="DL1291" s="3"/>
      <c r="DM1291" s="3"/>
      <c r="DN1291" s="3"/>
      <c r="DO1291" s="3"/>
      <c r="DP1291" s="4"/>
      <c r="DQ1291" s="4"/>
      <c r="DR1291" s="4"/>
      <c r="DS1291" s="4"/>
      <c r="DT1291" s="4"/>
      <c r="DU1291" s="4"/>
      <c r="DV1291" s="4"/>
      <c r="DW1291" s="4"/>
      <c r="DX1291" s="4"/>
      <c r="DY1291" s="4"/>
      <c r="DZ1291" s="4"/>
      <c r="EA1291" s="4"/>
      <c r="EB1291" s="4"/>
      <c r="EC1291" s="4"/>
      <c r="ED1291" s="4"/>
      <c r="EE1291" s="4"/>
      <c r="EF1291" s="4"/>
      <c r="EG1291" s="4"/>
      <c r="EH1291" s="4"/>
      <c r="EI1291" s="4"/>
      <c r="EJ1291" s="3"/>
      <c r="EK1291" s="3"/>
      <c r="EL1291" s="3"/>
      <c r="EM1291" s="3"/>
      <c r="EN1291" s="3"/>
      <c r="EO1291" s="3"/>
      <c r="EP1291" s="4"/>
      <c r="EQ1291" s="4"/>
      <c r="ER1291" s="3"/>
    </row>
    <row r="1292" spans="1:149" hidden="1">
      <c r="A1292" s="11" t="s">
        <v>9940</v>
      </c>
      <c r="B1292" s="3" t="s">
        <v>8373</v>
      </c>
      <c r="C1292" s="3">
        <v>2009</v>
      </c>
      <c r="D1292" s="3" t="s">
        <v>680</v>
      </c>
      <c r="E1292" s="3" t="s">
        <v>8664</v>
      </c>
      <c r="F1292" s="3">
        <v>1</v>
      </c>
      <c r="G1292" s="3"/>
      <c r="H1292" s="3" t="s">
        <v>684</v>
      </c>
      <c r="I1292" s="3"/>
      <c r="J1292" s="3"/>
      <c r="K1292" s="3" t="s">
        <v>197</v>
      </c>
      <c r="L1292" s="4"/>
      <c r="M1292" s="3" t="s">
        <v>8509</v>
      </c>
      <c r="T1292" s="3" t="s">
        <v>682</v>
      </c>
      <c r="V1292" s="3"/>
      <c r="W1292" s="3"/>
      <c r="X1292" s="5" t="s">
        <v>685</v>
      </c>
      <c r="Y1292" s="5"/>
      <c r="Z1292" s="3">
        <v>1</v>
      </c>
      <c r="AA1292" s="4"/>
      <c r="AB1292" s="4"/>
      <c r="AE1292" s="3"/>
      <c r="AF1292" s="3"/>
      <c r="AG1292" s="4"/>
      <c r="AH1292" s="4"/>
      <c r="AI1292" s="4"/>
      <c r="AJ1292" s="4"/>
      <c r="AK1292" s="3"/>
      <c r="AL1292" s="3"/>
      <c r="AM1292" s="3"/>
      <c r="AN1292" s="3"/>
      <c r="AO1292" s="4"/>
      <c r="AP1292" s="3"/>
      <c r="AQ1292" s="4"/>
      <c r="AR1292" s="3"/>
      <c r="AS1292" s="3"/>
      <c r="AT1292" s="4"/>
      <c r="AU1292" s="3"/>
      <c r="AV1292" s="4"/>
      <c r="AW1292" s="4"/>
      <c r="AX1292" s="4"/>
      <c r="AY1292" s="4"/>
      <c r="AZ1292" s="4"/>
      <c r="BA1292" s="4"/>
      <c r="BB1292" s="4"/>
      <c r="BC1292" s="4"/>
      <c r="BD1292" s="4"/>
      <c r="BE1292" s="4"/>
      <c r="BF1292" s="3"/>
      <c r="BG1292" s="3"/>
      <c r="BH1292" s="3"/>
      <c r="BI1292" s="4"/>
      <c r="BJ1292" s="3"/>
      <c r="BK1292" s="4"/>
      <c r="BL1292" s="4"/>
      <c r="BM1292" s="3"/>
      <c r="BN1292" s="4"/>
      <c r="BO1292" s="4"/>
      <c r="BP1292" s="4"/>
      <c r="BQ1292" s="4"/>
      <c r="BR1292" s="4"/>
      <c r="BS1292" s="4"/>
      <c r="BT1292" s="4"/>
      <c r="BU1292" s="4"/>
      <c r="BV1292" s="4"/>
      <c r="BW1292" s="4"/>
      <c r="BX1292" s="4"/>
      <c r="BY1292" s="4"/>
      <c r="BZ1292" s="4"/>
      <c r="CA1292" s="4"/>
      <c r="CB1292" s="4"/>
      <c r="CC1292" s="4"/>
      <c r="CD1292" s="4"/>
      <c r="CE1292" s="4"/>
      <c r="CF1292" s="4"/>
      <c r="CG1292" s="4"/>
      <c r="CH1292" s="4"/>
      <c r="CI1292" s="4"/>
      <c r="CJ1292" s="4"/>
      <c r="CK1292" s="4"/>
      <c r="CL1292" s="4"/>
      <c r="CM1292" s="4"/>
      <c r="CN1292" s="4"/>
      <c r="CO1292" s="3"/>
      <c r="CP1292" s="3"/>
      <c r="CQ1292" s="8"/>
      <c r="CR1292" s="4"/>
      <c r="CS1292" s="4"/>
      <c r="CT1292" s="4"/>
      <c r="CU1292" s="4"/>
      <c r="CV1292" s="8"/>
      <c r="CW1292" s="8"/>
      <c r="CX1292" s="8"/>
      <c r="CY1292" s="8"/>
      <c r="CZ1292" s="4"/>
      <c r="DA1292" s="4"/>
      <c r="DB1292" s="4"/>
      <c r="DC1292" s="4"/>
      <c r="DD1292" s="4"/>
      <c r="DE1292" s="4"/>
      <c r="DF1292" s="4"/>
      <c r="DG1292" s="4"/>
      <c r="DH1292" s="4"/>
      <c r="DI1292" s="4"/>
      <c r="DJ1292" s="4"/>
      <c r="DK1292" s="4"/>
      <c r="DL1292" s="4"/>
      <c r="DM1292" s="4"/>
      <c r="DN1292" s="4"/>
      <c r="DO1292" s="4"/>
      <c r="DP1292" s="4"/>
      <c r="DQ1292" s="4"/>
      <c r="DR1292" s="4"/>
      <c r="DS1292" s="4"/>
      <c r="DT1292" s="8"/>
      <c r="DU1292" s="8"/>
      <c r="DV1292" s="8"/>
      <c r="DW1292" s="8"/>
      <c r="DX1292" s="8"/>
      <c r="DY1292" s="8"/>
      <c r="DZ1292" s="4"/>
      <c r="EA1292" s="4"/>
      <c r="EB1292" s="4"/>
    </row>
    <row r="1293" spans="1:149" hidden="1">
      <c r="A1293" s="11" t="s">
        <v>9940</v>
      </c>
      <c r="B1293" s="3" t="s">
        <v>8373</v>
      </c>
      <c r="C1293" s="3">
        <v>2008</v>
      </c>
      <c r="D1293" s="3" t="s">
        <v>171</v>
      </c>
      <c r="E1293" s="3" t="s">
        <v>9420</v>
      </c>
      <c r="F1293" s="3">
        <v>0</v>
      </c>
      <c r="G1293" s="3" t="s">
        <v>9178</v>
      </c>
      <c r="H1293" s="3" t="s">
        <v>176</v>
      </c>
      <c r="I1293" s="3"/>
      <c r="J1293" s="3"/>
      <c r="K1293" s="3" t="s">
        <v>172</v>
      </c>
      <c r="L1293" s="4"/>
      <c r="M1293" s="3" t="s">
        <v>8684</v>
      </c>
      <c r="T1293" s="3" t="s">
        <v>174</v>
      </c>
      <c r="V1293" s="4"/>
      <c r="W1293" s="4"/>
      <c r="X1293" s="5" t="s">
        <v>177</v>
      </c>
      <c r="Y1293" s="5"/>
      <c r="Z1293" s="4"/>
      <c r="AA1293" s="4"/>
      <c r="AB1293" s="4"/>
      <c r="AE1293" s="4"/>
      <c r="AF1293" s="4"/>
      <c r="AG1293" s="3"/>
      <c r="AH1293" s="3"/>
      <c r="AI1293" s="3"/>
      <c r="AJ1293" s="3"/>
      <c r="AK1293" s="4"/>
      <c r="AL1293" s="3"/>
      <c r="AM1293" s="4"/>
      <c r="AN1293" s="10"/>
      <c r="AO1293" s="3"/>
      <c r="AP1293" s="4"/>
      <c r="AQ1293" s="3"/>
      <c r="AR1293" s="4"/>
      <c r="AS1293" s="4"/>
      <c r="AT1293" s="4"/>
      <c r="AU1293" s="4"/>
      <c r="AV1293" s="4"/>
      <c r="AW1293" s="4"/>
      <c r="AX1293" s="4"/>
      <c r="AY1293" s="4"/>
      <c r="AZ1293" s="4"/>
      <c r="BA1293" s="4"/>
      <c r="BB1293" s="3"/>
      <c r="BC1293" s="3"/>
      <c r="BD1293" s="3"/>
      <c r="BE1293" s="4"/>
      <c r="BF1293" s="3"/>
      <c r="BG1293" s="4"/>
      <c r="BH1293" s="4"/>
      <c r="BI1293" s="3"/>
      <c r="BJ1293" s="4"/>
      <c r="BK1293" s="4"/>
      <c r="BL1293" s="4"/>
      <c r="BM1293" s="4"/>
      <c r="BN1293" s="4"/>
      <c r="BO1293" s="4"/>
      <c r="BP1293" s="4"/>
      <c r="BQ1293" s="4"/>
      <c r="BR1293" s="4"/>
      <c r="BS1293" s="4"/>
      <c r="BT1293" s="4"/>
      <c r="BU1293" s="4"/>
      <c r="BV1293" s="4"/>
      <c r="BW1293" s="4"/>
      <c r="BX1293" s="4"/>
      <c r="BY1293" s="3"/>
      <c r="BZ1293" s="3"/>
      <c r="CA1293" s="4"/>
      <c r="CB1293" s="4"/>
      <c r="CC1293" s="4"/>
      <c r="CD1293" s="4"/>
      <c r="CE1293" s="4"/>
      <c r="CF1293" s="4"/>
      <c r="CG1293" s="4"/>
      <c r="CH1293" s="4"/>
      <c r="CI1293" s="4"/>
      <c r="CJ1293" s="4"/>
      <c r="CK1293" s="4"/>
      <c r="CL1293" s="4"/>
      <c r="CM1293" s="4"/>
      <c r="CN1293" s="4"/>
      <c r="CO1293" s="4"/>
      <c r="CP1293" s="4"/>
      <c r="CQ1293" s="4"/>
      <c r="CR1293" s="4"/>
      <c r="CS1293" s="4"/>
      <c r="CT1293" s="4"/>
      <c r="CU1293" s="4"/>
      <c r="CV1293" s="4"/>
      <c r="CW1293" s="4"/>
      <c r="CX1293" s="4"/>
      <c r="CY1293" s="4"/>
      <c r="CZ1293" s="4"/>
      <c r="DA1293" s="4"/>
      <c r="DB1293" s="4"/>
      <c r="DC1293" s="4"/>
      <c r="DD1293" s="4"/>
      <c r="DE1293" s="4"/>
      <c r="DF1293" s="4"/>
      <c r="DG1293" s="4"/>
      <c r="DH1293" s="4"/>
      <c r="DI1293" s="4"/>
      <c r="DJ1293" s="4"/>
      <c r="DK1293" s="4"/>
      <c r="DL1293" s="4"/>
    </row>
    <row r="1294" spans="1:149" hidden="1">
      <c r="A1294" s="11" t="s">
        <v>9940</v>
      </c>
      <c r="B1294" s="3" t="s">
        <v>8373</v>
      </c>
      <c r="C1294" s="3">
        <v>2016</v>
      </c>
      <c r="D1294" s="3" t="s">
        <v>2036</v>
      </c>
      <c r="E1294" s="3" t="s">
        <v>9421</v>
      </c>
      <c r="F1294" s="3">
        <v>0</v>
      </c>
      <c r="G1294" s="3" t="s">
        <v>9237</v>
      </c>
      <c r="H1294" s="3" t="s">
        <v>9422</v>
      </c>
      <c r="I1294" s="3"/>
      <c r="J1294" s="3"/>
      <c r="K1294" s="3" t="s">
        <v>2037</v>
      </c>
      <c r="L1294" s="4"/>
      <c r="M1294" s="3" t="s">
        <v>8760</v>
      </c>
      <c r="T1294" s="3" t="s">
        <v>2039</v>
      </c>
      <c r="V1294" s="4"/>
      <c r="W1294" s="4"/>
      <c r="X1294" s="5" t="s">
        <v>2042</v>
      </c>
      <c r="Y1294" s="5"/>
      <c r="Z1294" s="4"/>
      <c r="AA1294" s="4"/>
      <c r="AB1294" s="4"/>
      <c r="AE1294" s="4"/>
      <c r="AF1294" s="4"/>
      <c r="AG1294" s="3"/>
      <c r="AH1294" s="3"/>
      <c r="AI1294" s="3"/>
      <c r="AJ1294" s="3"/>
      <c r="AK1294" s="4"/>
      <c r="AL1294" s="3"/>
      <c r="AM1294" s="4"/>
      <c r="AN1294" s="3"/>
      <c r="AO1294" s="3"/>
      <c r="AP1294" s="4"/>
      <c r="AQ1294" s="3"/>
      <c r="AR1294" s="4"/>
      <c r="AS1294" s="4"/>
      <c r="AT1294" s="4"/>
      <c r="AU1294" s="4"/>
      <c r="AV1294" s="4"/>
      <c r="AW1294" s="4"/>
      <c r="AX1294" s="4"/>
      <c r="AY1294" s="4"/>
      <c r="AZ1294" s="4"/>
      <c r="BA1294" s="4"/>
      <c r="BB1294" s="3"/>
      <c r="BC1294" s="3"/>
      <c r="BD1294" s="3"/>
      <c r="BE1294" s="4"/>
      <c r="BF1294" s="3"/>
      <c r="BG1294" s="4"/>
      <c r="BH1294" s="3"/>
      <c r="BI1294" s="4"/>
      <c r="BJ1294" s="4"/>
      <c r="BK1294" s="4"/>
      <c r="BL1294" s="4"/>
      <c r="BM1294" s="4"/>
      <c r="BN1294" s="4"/>
      <c r="BO1294" s="4"/>
      <c r="BP1294" s="4"/>
      <c r="BQ1294" s="4"/>
      <c r="BR1294" s="4"/>
      <c r="BS1294" s="4"/>
      <c r="BT1294" s="4"/>
      <c r="BU1294" s="4"/>
      <c r="BV1294" s="4"/>
      <c r="BW1294" s="4"/>
      <c r="BX1294" s="4"/>
      <c r="BY1294" s="4"/>
      <c r="BZ1294" s="4"/>
      <c r="CA1294" s="4"/>
      <c r="CB1294" s="4"/>
      <c r="CC1294" s="4"/>
      <c r="CD1294" s="4"/>
      <c r="CE1294" s="4"/>
      <c r="CF1294" s="4"/>
      <c r="CG1294" s="4"/>
      <c r="CH1294" s="4"/>
      <c r="CI1294" s="4"/>
      <c r="CJ1294" s="4"/>
      <c r="CK1294" s="4"/>
      <c r="CL1294" s="4"/>
      <c r="CM1294" s="4"/>
      <c r="CN1294" s="3"/>
      <c r="CO1294" s="3"/>
      <c r="CP1294" s="4"/>
      <c r="CQ1294" s="4"/>
      <c r="CR1294" s="4"/>
      <c r="CS1294" s="4"/>
      <c r="CT1294" s="4"/>
      <c r="CU1294" s="4"/>
      <c r="CV1294" s="4"/>
      <c r="CW1294" s="4"/>
      <c r="CX1294" s="4"/>
      <c r="CY1294" s="4"/>
      <c r="CZ1294" s="4"/>
      <c r="DA1294" s="4"/>
      <c r="DB1294" s="4"/>
      <c r="DC1294" s="4"/>
      <c r="DD1294" s="4"/>
      <c r="DE1294" s="4"/>
      <c r="DF1294" s="4"/>
      <c r="DG1294" s="4"/>
      <c r="DH1294" s="4"/>
      <c r="DI1294" s="4"/>
      <c r="DJ1294" s="4"/>
      <c r="DK1294" s="4"/>
      <c r="DL1294" s="4"/>
      <c r="DM1294" s="4"/>
      <c r="DN1294" s="4"/>
      <c r="DO1294" s="4"/>
      <c r="DP1294" s="4"/>
      <c r="DQ1294" s="4"/>
      <c r="DR1294" s="4"/>
      <c r="DS1294" s="4"/>
      <c r="DT1294" s="4"/>
      <c r="DU1294" s="4"/>
      <c r="DV1294" s="4"/>
      <c r="DW1294" s="4"/>
      <c r="DX1294" s="4"/>
      <c r="DY1294" s="4"/>
      <c r="DZ1294" s="4"/>
      <c r="EA1294" s="4"/>
    </row>
    <row r="1295" spans="1:149" hidden="1">
      <c r="A1295" s="11" t="s">
        <v>9940</v>
      </c>
      <c r="B1295" s="3" t="s">
        <v>8373</v>
      </c>
      <c r="C1295" s="3">
        <v>2011</v>
      </c>
      <c r="D1295" s="3" t="s">
        <v>8257</v>
      </c>
      <c r="E1295" s="3" t="s">
        <v>8665</v>
      </c>
      <c r="F1295" s="3">
        <v>1</v>
      </c>
      <c r="G1295" s="3"/>
      <c r="H1295" s="3" t="s">
        <v>8667</v>
      </c>
      <c r="I1295" s="3"/>
      <c r="J1295" s="3"/>
      <c r="K1295" s="3" t="s">
        <v>4255</v>
      </c>
      <c r="L1295" s="4"/>
      <c r="M1295" s="3" t="s">
        <v>8666</v>
      </c>
      <c r="T1295" s="3" t="s">
        <v>8259</v>
      </c>
      <c r="V1295" s="3"/>
      <c r="W1295" s="4"/>
      <c r="X1295" s="5" t="s">
        <v>8262</v>
      </c>
      <c r="Y1295" s="5"/>
      <c r="Z1295" s="3">
        <v>1</v>
      </c>
      <c r="AA1295" s="4"/>
      <c r="AB1295" s="4"/>
      <c r="AE1295" s="3"/>
      <c r="AF1295" s="3"/>
      <c r="AG1295" s="4"/>
      <c r="AH1295" s="4"/>
      <c r="AI1295" s="4"/>
      <c r="AJ1295" s="4"/>
      <c r="AK1295" s="3"/>
      <c r="AL1295" s="3"/>
      <c r="AM1295" s="3"/>
      <c r="AN1295" s="3"/>
      <c r="AO1295" s="4"/>
      <c r="AP1295" s="3"/>
      <c r="AQ1295" s="4"/>
      <c r="AR1295" s="3"/>
      <c r="AS1295" s="3"/>
      <c r="AT1295" s="4"/>
      <c r="AU1295" s="3"/>
      <c r="AV1295" s="4"/>
      <c r="AW1295" s="4"/>
      <c r="AX1295" s="4"/>
      <c r="AY1295" s="4"/>
      <c r="AZ1295" s="4"/>
      <c r="BA1295" s="4"/>
      <c r="BB1295" s="4"/>
      <c r="BC1295" s="4"/>
      <c r="BD1295" s="4"/>
      <c r="BE1295" s="4"/>
      <c r="BF1295" s="3"/>
      <c r="BG1295" s="3"/>
      <c r="BH1295" s="3"/>
      <c r="BI1295" s="4"/>
      <c r="BJ1295" s="3"/>
      <c r="BK1295" s="4"/>
      <c r="BL1295" s="4"/>
      <c r="BM1295" s="3"/>
      <c r="BN1295" s="4"/>
      <c r="BO1295" s="4"/>
      <c r="BP1295" s="4"/>
      <c r="BQ1295" s="4"/>
      <c r="BR1295" s="4"/>
      <c r="BS1295" s="4"/>
      <c r="BT1295" s="4"/>
      <c r="BU1295" s="4"/>
      <c r="BV1295" s="4"/>
      <c r="BW1295" s="4"/>
      <c r="BX1295" s="4"/>
      <c r="BY1295" s="4"/>
      <c r="BZ1295" s="4"/>
      <c r="CA1295" s="4"/>
      <c r="CB1295" s="4"/>
      <c r="CC1295" s="4"/>
      <c r="CD1295" s="4"/>
      <c r="CE1295" s="4"/>
      <c r="CF1295" s="4"/>
      <c r="CG1295" s="4"/>
      <c r="CH1295" s="4"/>
      <c r="CI1295" s="4"/>
      <c r="CJ1295" s="3"/>
      <c r="CK1295" s="3"/>
      <c r="CL1295" s="8"/>
      <c r="CM1295" s="4"/>
      <c r="CN1295" s="4"/>
      <c r="CO1295" s="4"/>
      <c r="CP1295" s="4"/>
      <c r="CQ1295" s="8"/>
      <c r="CR1295" s="8"/>
      <c r="CS1295" s="8"/>
      <c r="CT1295" s="8"/>
      <c r="CU1295" s="4"/>
      <c r="CV1295" s="4"/>
      <c r="CW1295" s="4"/>
      <c r="CX1295" s="4"/>
      <c r="CY1295" s="4"/>
      <c r="CZ1295" s="4"/>
      <c r="DA1295" s="4"/>
      <c r="DB1295" s="4"/>
      <c r="DC1295" s="4"/>
      <c r="DD1295" s="4"/>
      <c r="DE1295" s="4"/>
      <c r="DF1295" s="4"/>
      <c r="DG1295" s="4"/>
      <c r="DH1295" s="4"/>
      <c r="DI1295" s="4"/>
      <c r="DJ1295" s="4"/>
      <c r="DK1295" s="4"/>
      <c r="DL1295" s="4"/>
      <c r="DM1295" s="4"/>
      <c r="DN1295" s="4"/>
      <c r="DO1295" s="8"/>
      <c r="DP1295" s="8"/>
      <c r="DQ1295" s="8"/>
      <c r="DR1295" s="8"/>
      <c r="DS1295" s="8"/>
      <c r="DT1295" s="8"/>
      <c r="DU1295" s="4"/>
      <c r="DV1295" s="4"/>
      <c r="DW1295" s="4"/>
    </row>
    <row r="1296" spans="1:149" hidden="1">
      <c r="A1296" s="11" t="s">
        <v>9940</v>
      </c>
      <c r="B1296" s="3" t="s">
        <v>8373</v>
      </c>
      <c r="C1296" s="3">
        <v>2015</v>
      </c>
      <c r="D1296" s="3" t="s">
        <v>3927</v>
      </c>
      <c r="E1296" s="3" t="s">
        <v>8668</v>
      </c>
      <c r="F1296" s="3">
        <v>1</v>
      </c>
      <c r="G1296" s="3"/>
      <c r="H1296" s="3" t="s">
        <v>8669</v>
      </c>
      <c r="I1296" s="3"/>
      <c r="J1296" s="3"/>
      <c r="K1296" s="3" t="s">
        <v>132</v>
      </c>
      <c r="L1296" s="4"/>
      <c r="M1296" s="3" t="s">
        <v>8382</v>
      </c>
      <c r="T1296" s="3" t="s">
        <v>3929</v>
      </c>
      <c r="V1296" s="3"/>
      <c r="W1296" s="3"/>
      <c r="X1296" s="5" t="s">
        <v>3933</v>
      </c>
      <c r="Y1296" s="5"/>
      <c r="Z1296" s="3">
        <v>1</v>
      </c>
      <c r="AA1296" s="4"/>
      <c r="AB1296" s="3"/>
      <c r="AE1296" s="3"/>
      <c r="AF1296" s="3"/>
      <c r="AG1296" s="4"/>
      <c r="AH1296" s="4"/>
      <c r="AI1296" s="4"/>
      <c r="AJ1296" s="4"/>
      <c r="AK1296" s="3"/>
      <c r="AL1296" s="3"/>
      <c r="AM1296" s="3"/>
      <c r="AN1296" s="3"/>
      <c r="AO1296" s="4"/>
      <c r="AP1296" s="3"/>
      <c r="AQ1296" s="4"/>
      <c r="AR1296" s="4"/>
      <c r="AS1296" s="3"/>
      <c r="AT1296" s="4"/>
      <c r="AU1296" s="3"/>
      <c r="AV1296" s="4"/>
      <c r="AW1296" s="4"/>
      <c r="AX1296" s="4"/>
      <c r="AY1296" s="4"/>
      <c r="AZ1296" s="4"/>
      <c r="BA1296" s="4"/>
      <c r="BB1296" s="4"/>
      <c r="BC1296" s="4"/>
      <c r="BD1296" s="4"/>
      <c r="BE1296" s="4"/>
      <c r="BF1296" s="3"/>
      <c r="BG1296" s="3"/>
      <c r="BH1296" s="3"/>
      <c r="BI1296" s="4"/>
      <c r="BJ1296" s="3"/>
      <c r="BK1296" s="4"/>
      <c r="BL1296" s="4"/>
      <c r="BM1296" s="3"/>
      <c r="BN1296" s="4"/>
      <c r="BO1296" s="4"/>
      <c r="BP1296" s="4"/>
      <c r="BQ1296" s="4"/>
      <c r="BR1296" s="4"/>
      <c r="BS1296" s="4"/>
      <c r="BT1296" s="4"/>
      <c r="BU1296" s="4"/>
      <c r="BV1296" s="4"/>
      <c r="BW1296" s="4"/>
      <c r="BX1296" s="4"/>
      <c r="BY1296" s="4"/>
      <c r="BZ1296" s="4"/>
      <c r="CA1296" s="4"/>
      <c r="CB1296" s="4"/>
      <c r="CC1296" s="4"/>
      <c r="CD1296" s="4"/>
      <c r="CE1296" s="4"/>
      <c r="CF1296" s="4"/>
      <c r="CG1296" s="4"/>
      <c r="CH1296" s="4"/>
      <c r="CI1296" s="4"/>
      <c r="CJ1296" s="4"/>
      <c r="CK1296" s="4"/>
      <c r="CL1296" s="4"/>
      <c r="CM1296" s="4"/>
      <c r="CN1296" s="4"/>
      <c r="CO1296" s="4"/>
      <c r="CP1296" s="4"/>
      <c r="CQ1296" s="4"/>
      <c r="CR1296" s="4"/>
      <c r="CS1296" s="4"/>
      <c r="CT1296" s="4"/>
      <c r="CU1296" s="4"/>
      <c r="CV1296" s="4"/>
      <c r="CW1296" s="4"/>
      <c r="CX1296" s="4"/>
      <c r="CY1296" s="4"/>
      <c r="CZ1296" s="4"/>
      <c r="DA1296" s="3"/>
      <c r="DB1296" s="3"/>
      <c r="DC1296" s="8"/>
      <c r="DD1296" s="4"/>
      <c r="DE1296" s="4"/>
      <c r="DF1296" s="4"/>
      <c r="DG1296" s="4"/>
      <c r="DH1296" s="8"/>
      <c r="DI1296" s="8"/>
      <c r="DJ1296" s="8"/>
      <c r="DK1296" s="8"/>
      <c r="DL1296" s="4"/>
      <c r="DM1296" s="4"/>
      <c r="DN1296" s="4"/>
      <c r="DO1296" s="4"/>
      <c r="DP1296" s="4"/>
      <c r="DQ1296" s="4"/>
      <c r="DR1296" s="4"/>
      <c r="DS1296" s="4"/>
      <c r="DT1296" s="4"/>
      <c r="DU1296" s="4"/>
      <c r="DV1296" s="4"/>
      <c r="DW1296" s="4"/>
      <c r="DX1296" s="4"/>
      <c r="DY1296" s="4"/>
      <c r="DZ1296" s="4"/>
      <c r="EA1296" s="4"/>
      <c r="EB1296" s="4"/>
      <c r="EC1296" s="4"/>
      <c r="ED1296" s="4"/>
      <c r="EE1296" s="4"/>
      <c r="EF1296" s="8"/>
      <c r="EG1296" s="8"/>
      <c r="EH1296" s="8"/>
      <c r="EI1296" s="8"/>
      <c r="EJ1296" s="8"/>
      <c r="EK1296" s="8"/>
      <c r="EL1296" s="4"/>
      <c r="EM1296" s="4"/>
      <c r="EN1296" s="4"/>
    </row>
    <row r="1297" spans="1:150" hidden="1">
      <c r="A1297" s="11" t="s">
        <v>9940</v>
      </c>
      <c r="B1297" s="3" t="s">
        <v>8379</v>
      </c>
      <c r="C1297" s="3">
        <v>2018</v>
      </c>
      <c r="D1297" s="3" t="s">
        <v>1443</v>
      </c>
      <c r="E1297" s="6" t="s">
        <v>8670</v>
      </c>
      <c r="F1297" s="3">
        <v>1</v>
      </c>
      <c r="G1297" s="4"/>
      <c r="H1297" s="3" t="s">
        <v>1452</v>
      </c>
      <c r="I1297" s="3"/>
      <c r="J1297" s="3"/>
      <c r="K1297" s="4"/>
      <c r="L1297" s="4"/>
      <c r="M1297" s="4"/>
      <c r="T1297" s="4"/>
      <c r="V1297" s="3"/>
      <c r="W1297" s="3"/>
      <c r="X1297" s="5" t="s">
        <v>1453</v>
      </c>
      <c r="Y1297" s="5"/>
      <c r="Z1297" s="3">
        <v>1</v>
      </c>
      <c r="AA1297" s="4"/>
      <c r="AB1297" s="4"/>
      <c r="AE1297" s="3"/>
      <c r="AF1297" s="3"/>
      <c r="AG1297" s="3"/>
      <c r="AH1297" s="4"/>
      <c r="AI1297" s="4"/>
      <c r="AJ1297" s="4"/>
      <c r="AK1297" s="3"/>
      <c r="AL1297" s="3"/>
      <c r="AM1297" s="3"/>
      <c r="AN1297" s="3"/>
      <c r="AO1297" s="4"/>
      <c r="AP1297" s="4"/>
      <c r="AQ1297" s="4"/>
      <c r="AR1297" s="4"/>
      <c r="AS1297" s="4"/>
      <c r="AT1297" s="4"/>
      <c r="AU1297" s="4"/>
      <c r="AV1297" s="4"/>
      <c r="AW1297" s="4"/>
      <c r="AX1297" s="4"/>
      <c r="AY1297" s="4"/>
      <c r="AZ1297" s="4"/>
      <c r="BA1297" s="3"/>
      <c r="BB1297" s="4"/>
      <c r="BC1297" s="3"/>
      <c r="BD1297" s="3"/>
      <c r="BE1297" s="3"/>
      <c r="BF1297" s="4"/>
      <c r="BG1297" s="3"/>
      <c r="BH1297" s="3"/>
      <c r="BI1297" s="4"/>
      <c r="BJ1297" s="4"/>
      <c r="BK1297" s="4"/>
      <c r="BL1297" s="4"/>
      <c r="BM1297" s="4"/>
      <c r="BN1297" s="4"/>
      <c r="BO1297" s="4"/>
      <c r="BP1297" s="4"/>
      <c r="BQ1297" s="4"/>
      <c r="BR1297" s="4"/>
      <c r="BS1297" s="4"/>
      <c r="BT1297" s="4"/>
      <c r="BU1297" s="4"/>
      <c r="BV1297" s="4"/>
      <c r="BW1297" s="4"/>
      <c r="BX1297" s="4"/>
      <c r="BY1297" s="4"/>
      <c r="BZ1297" s="4"/>
      <c r="CA1297" s="4"/>
      <c r="CB1297" s="4"/>
      <c r="CC1297" s="4"/>
      <c r="CD1297" s="4"/>
      <c r="CE1297" s="4"/>
      <c r="CF1297" s="4"/>
      <c r="CG1297" s="4"/>
      <c r="CH1297" s="4"/>
      <c r="CI1297" s="4"/>
      <c r="CJ1297" s="4"/>
      <c r="CK1297" s="4"/>
      <c r="CL1297" s="4"/>
      <c r="CM1297" s="4"/>
      <c r="CN1297" s="4"/>
      <c r="CO1297" s="4"/>
      <c r="CP1297" s="4"/>
      <c r="CQ1297" s="4"/>
      <c r="CR1297" s="4"/>
      <c r="CS1297" s="4"/>
      <c r="CT1297" s="4"/>
      <c r="CU1297" s="4"/>
      <c r="CV1297" s="4"/>
      <c r="CW1297" s="4"/>
      <c r="CX1297" s="4"/>
      <c r="CY1297" s="4"/>
      <c r="CZ1297" s="4"/>
      <c r="DA1297" s="4"/>
      <c r="DB1297" s="3"/>
      <c r="DC1297" s="3"/>
      <c r="DD1297" s="8"/>
      <c r="DE1297" s="4"/>
      <c r="DF1297" s="4"/>
      <c r="DG1297" s="4"/>
      <c r="DH1297" s="4"/>
      <c r="DI1297" s="8"/>
      <c r="DJ1297" s="8"/>
      <c r="DK1297" s="8"/>
      <c r="DL1297" s="8"/>
      <c r="DM1297" s="4"/>
      <c r="DN1297" s="4"/>
      <c r="DO1297" s="4"/>
      <c r="DP1297" s="4"/>
      <c r="DQ1297" s="4"/>
      <c r="DR1297" s="4"/>
      <c r="DS1297" s="4"/>
      <c r="DT1297" s="4"/>
      <c r="DU1297" s="4"/>
      <c r="DV1297" s="4"/>
      <c r="DW1297" s="4"/>
      <c r="DX1297" s="4"/>
      <c r="DY1297" s="4"/>
      <c r="DZ1297" s="4"/>
      <c r="EA1297" s="4"/>
      <c r="EB1297" s="4"/>
      <c r="EC1297" s="4"/>
      <c r="ED1297" s="4"/>
      <c r="EE1297" s="4"/>
      <c r="EF1297" s="4"/>
      <c r="EG1297" s="8"/>
      <c r="EH1297" s="8"/>
      <c r="EI1297" s="8"/>
      <c r="EJ1297" s="8"/>
      <c r="EK1297" s="8"/>
      <c r="EL1297" s="8"/>
      <c r="EM1297" s="4"/>
      <c r="EN1297" s="4"/>
      <c r="EO1297" s="4"/>
    </row>
    <row r="1298" spans="1:150" hidden="1">
      <c r="A1298" s="11" t="s">
        <v>9940</v>
      </c>
      <c r="B1298" s="3" t="s">
        <v>8373</v>
      </c>
      <c r="C1298" s="3">
        <v>2011</v>
      </c>
      <c r="D1298" s="3" t="s">
        <v>8671</v>
      </c>
      <c r="E1298" s="3" t="s">
        <v>8672</v>
      </c>
      <c r="F1298" s="3">
        <v>1</v>
      </c>
      <c r="G1298" s="3"/>
      <c r="H1298" s="3" t="s">
        <v>8677</v>
      </c>
      <c r="I1298" s="3"/>
      <c r="J1298" s="3"/>
      <c r="K1298" s="3" t="s">
        <v>8673</v>
      </c>
      <c r="L1298" s="4"/>
      <c r="M1298" s="3" t="s">
        <v>8674</v>
      </c>
      <c r="T1298" s="3" t="s">
        <v>8675</v>
      </c>
      <c r="V1298" s="3"/>
      <c r="W1298" s="4"/>
      <c r="X1298" s="5" t="s">
        <v>8676</v>
      </c>
      <c r="Y1298" s="5"/>
      <c r="Z1298" s="3">
        <v>1</v>
      </c>
      <c r="AA1298" s="4"/>
      <c r="AB1298" s="4"/>
      <c r="AE1298" s="3"/>
      <c r="AF1298" s="3"/>
      <c r="AG1298" s="4"/>
      <c r="AH1298" s="4"/>
      <c r="AI1298" s="4"/>
      <c r="AJ1298" s="4"/>
      <c r="AK1298" s="3"/>
      <c r="AL1298" s="3"/>
      <c r="AM1298" s="3"/>
      <c r="AN1298" s="3"/>
      <c r="AO1298" s="4"/>
      <c r="AP1298" s="3"/>
      <c r="AQ1298" s="4"/>
      <c r="AR1298" s="3"/>
      <c r="AS1298" s="3"/>
      <c r="AT1298" s="4"/>
      <c r="AU1298" s="3"/>
      <c r="AV1298" s="4"/>
      <c r="AW1298" s="4"/>
      <c r="AX1298" s="4"/>
      <c r="AY1298" s="4"/>
      <c r="AZ1298" s="4"/>
      <c r="BA1298" s="4"/>
      <c r="BB1298" s="4"/>
      <c r="BC1298" s="4"/>
      <c r="BD1298" s="4"/>
      <c r="BE1298" s="4"/>
      <c r="BF1298" s="3"/>
      <c r="BG1298" s="3"/>
      <c r="BH1298" s="3"/>
      <c r="BI1298" s="4"/>
      <c r="BJ1298" s="3"/>
      <c r="BK1298" s="4"/>
      <c r="BL1298" s="4"/>
      <c r="BM1298" s="3"/>
      <c r="BN1298" s="4"/>
      <c r="BO1298" s="4"/>
      <c r="BP1298" s="4"/>
      <c r="BQ1298" s="4"/>
      <c r="BR1298" s="4"/>
      <c r="BS1298" s="4"/>
      <c r="BT1298" s="4"/>
      <c r="BU1298" s="4"/>
      <c r="BV1298" s="4"/>
      <c r="BW1298" s="4"/>
      <c r="BX1298" s="4"/>
      <c r="BY1298" s="4"/>
      <c r="BZ1298" s="4"/>
      <c r="CA1298" s="4"/>
      <c r="CB1298" s="4"/>
      <c r="CC1298" s="4"/>
      <c r="CD1298" s="4"/>
      <c r="CE1298" s="4"/>
      <c r="CF1298" s="4"/>
      <c r="CG1298" s="4"/>
      <c r="CH1298" s="4"/>
      <c r="CI1298" s="4"/>
      <c r="CJ1298" s="4"/>
      <c r="CK1298" s="4"/>
      <c r="CL1298" s="3"/>
      <c r="CM1298" s="3"/>
      <c r="CN1298" s="8"/>
      <c r="CO1298" s="4"/>
      <c r="CP1298" s="4"/>
      <c r="CQ1298" s="4"/>
      <c r="CR1298" s="4"/>
      <c r="CS1298" s="8"/>
      <c r="CT1298" s="8"/>
      <c r="CU1298" s="8"/>
      <c r="CV1298" s="8"/>
      <c r="CW1298" s="4"/>
      <c r="CX1298" s="4"/>
      <c r="CY1298" s="4"/>
      <c r="CZ1298" s="4"/>
      <c r="DA1298" s="4"/>
      <c r="DB1298" s="4"/>
      <c r="DC1298" s="4"/>
      <c r="DD1298" s="4"/>
      <c r="DE1298" s="4"/>
      <c r="DF1298" s="4"/>
      <c r="DG1298" s="4"/>
      <c r="DH1298" s="4"/>
      <c r="DI1298" s="4"/>
      <c r="DJ1298" s="4"/>
      <c r="DK1298" s="4"/>
      <c r="DL1298" s="4"/>
      <c r="DM1298" s="4"/>
      <c r="DN1298" s="4"/>
      <c r="DO1298" s="4"/>
      <c r="DP1298" s="4"/>
      <c r="DQ1298" s="8"/>
      <c r="DR1298" s="8"/>
      <c r="DS1298" s="8"/>
      <c r="DT1298" s="8"/>
      <c r="DU1298" s="8"/>
      <c r="DV1298" s="8"/>
      <c r="DW1298" s="4"/>
      <c r="DX1298" s="4"/>
      <c r="DY1298" s="4"/>
    </row>
    <row r="1299" spans="1:150" hidden="1">
      <c r="A1299" s="11" t="s">
        <v>9940</v>
      </c>
      <c r="B1299" s="3" t="s">
        <v>8379</v>
      </c>
      <c r="C1299" s="3">
        <v>2015</v>
      </c>
      <c r="D1299" s="3" t="s">
        <v>7244</v>
      </c>
      <c r="E1299" s="3" t="s">
        <v>8678</v>
      </c>
      <c r="F1299" s="3">
        <v>1</v>
      </c>
      <c r="G1299" s="4"/>
      <c r="H1299" s="3" t="s">
        <v>7247</v>
      </c>
      <c r="I1299" s="3"/>
      <c r="J1299" s="3"/>
      <c r="K1299" s="4"/>
      <c r="L1299" s="4"/>
      <c r="M1299" s="4"/>
      <c r="T1299" s="4"/>
      <c r="V1299" s="3"/>
      <c r="W1299" s="3"/>
      <c r="X1299" s="5" t="s">
        <v>7248</v>
      </c>
      <c r="Y1299" s="5"/>
      <c r="Z1299" s="3">
        <v>1</v>
      </c>
      <c r="AA1299" s="4"/>
      <c r="AB1299" s="4"/>
      <c r="AE1299" s="3"/>
      <c r="AF1299" s="3"/>
      <c r="AG1299" s="3"/>
      <c r="AH1299" s="4"/>
      <c r="AI1299" s="4"/>
      <c r="AJ1299" s="4"/>
      <c r="AK1299" s="3"/>
      <c r="AL1299" s="3"/>
      <c r="AM1299" s="3"/>
      <c r="AN1299" s="3"/>
      <c r="AO1299" s="4"/>
      <c r="AP1299" s="4"/>
      <c r="AQ1299" s="4"/>
      <c r="AR1299" s="4"/>
      <c r="AS1299" s="4"/>
      <c r="AT1299" s="4"/>
      <c r="AU1299" s="4"/>
      <c r="AV1299" s="4"/>
      <c r="AW1299" s="4"/>
      <c r="AX1299" s="4"/>
      <c r="AY1299" s="4"/>
      <c r="AZ1299" s="4"/>
      <c r="BA1299" s="3"/>
      <c r="BB1299" s="4"/>
      <c r="BC1299" s="3"/>
      <c r="BD1299" s="3"/>
      <c r="BE1299" s="3"/>
      <c r="BF1299" s="4"/>
      <c r="BG1299" s="3"/>
      <c r="BH1299" s="3"/>
      <c r="BI1299" s="4"/>
      <c r="BJ1299" s="4"/>
      <c r="BK1299" s="4"/>
      <c r="BL1299" s="4"/>
      <c r="BM1299" s="4"/>
      <c r="BN1299" s="4"/>
      <c r="BO1299" s="4"/>
      <c r="BP1299" s="4"/>
      <c r="BQ1299" s="4"/>
      <c r="BR1299" s="4"/>
      <c r="BS1299" s="4"/>
      <c r="BT1299" s="4"/>
      <c r="BU1299" s="4"/>
      <c r="BV1299" s="4"/>
      <c r="BW1299" s="4"/>
      <c r="BX1299" s="4"/>
      <c r="BY1299" s="4"/>
      <c r="BZ1299" s="4"/>
      <c r="CA1299" s="4"/>
      <c r="CB1299" s="4"/>
      <c r="CC1299" s="4"/>
      <c r="CD1299" s="4"/>
      <c r="CE1299" s="4"/>
      <c r="CF1299" s="4"/>
      <c r="CG1299" s="4"/>
      <c r="CH1299" s="4"/>
      <c r="CI1299" s="4"/>
      <c r="CJ1299" s="4"/>
      <c r="CK1299" s="4"/>
      <c r="CL1299" s="4"/>
      <c r="CM1299" s="4"/>
      <c r="CN1299" s="4"/>
      <c r="CO1299" s="4"/>
      <c r="CP1299" s="4"/>
      <c r="CQ1299" s="4"/>
      <c r="CR1299" s="4"/>
      <c r="CS1299" s="4"/>
      <c r="CT1299" s="4"/>
      <c r="CU1299" s="4"/>
      <c r="CV1299" s="4"/>
      <c r="CW1299" s="4"/>
      <c r="CX1299" s="4"/>
      <c r="CY1299" s="4"/>
      <c r="CZ1299" s="4"/>
      <c r="DA1299" s="3"/>
      <c r="DB1299" s="3"/>
      <c r="DC1299" s="3"/>
      <c r="DD1299" s="4"/>
      <c r="DE1299" s="4"/>
      <c r="DF1299" s="4"/>
      <c r="DG1299" s="4"/>
      <c r="DH1299" s="8"/>
      <c r="DI1299" s="8"/>
      <c r="DJ1299" s="8"/>
      <c r="DK1299" s="8"/>
      <c r="DL1299" s="4"/>
      <c r="DM1299" s="4"/>
      <c r="DN1299" s="4"/>
      <c r="DO1299" s="4"/>
      <c r="DP1299" s="4"/>
      <c r="DQ1299" s="4"/>
      <c r="DR1299" s="4"/>
      <c r="DS1299" s="4"/>
      <c r="DT1299" s="4"/>
      <c r="DU1299" s="4"/>
      <c r="DV1299" s="4"/>
      <c r="DW1299" s="4"/>
      <c r="DX1299" s="4"/>
      <c r="DY1299" s="4"/>
      <c r="DZ1299" s="4"/>
      <c r="EA1299" s="4"/>
      <c r="EB1299" s="4"/>
      <c r="EC1299" s="4"/>
      <c r="ED1299" s="4"/>
      <c r="EE1299" s="4"/>
      <c r="EF1299" s="3"/>
      <c r="EG1299" s="3"/>
      <c r="EH1299" s="3"/>
      <c r="EI1299" s="3"/>
      <c r="EJ1299" s="3"/>
      <c r="EK1299" s="3"/>
      <c r="EL1299" s="4"/>
      <c r="EM1299" s="4"/>
      <c r="EN1299" s="3"/>
    </row>
    <row r="1300" spans="1:150" hidden="1">
      <c r="A1300" s="11" t="s">
        <v>9940</v>
      </c>
      <c r="B1300" s="3" t="s">
        <v>8379</v>
      </c>
      <c r="C1300" s="3">
        <v>2013</v>
      </c>
      <c r="D1300" s="3" t="s">
        <v>2724</v>
      </c>
      <c r="E1300" s="3" t="s">
        <v>8679</v>
      </c>
      <c r="F1300" s="3">
        <v>1</v>
      </c>
      <c r="G1300" s="4"/>
      <c r="H1300" s="3" t="s">
        <v>2727</v>
      </c>
      <c r="I1300" s="3"/>
      <c r="J1300" s="3"/>
      <c r="K1300" s="4"/>
      <c r="L1300" s="4"/>
      <c r="M1300" s="4"/>
      <c r="T1300" s="4"/>
      <c r="V1300" s="3"/>
      <c r="W1300" s="4"/>
      <c r="X1300" s="5" t="s">
        <v>2728</v>
      </c>
      <c r="Y1300" s="5"/>
      <c r="Z1300" s="3">
        <v>1</v>
      </c>
      <c r="AA1300" s="4"/>
      <c r="AB1300" s="4"/>
      <c r="AE1300" s="3"/>
      <c r="AF1300" s="3"/>
      <c r="AG1300" s="3"/>
      <c r="AH1300" s="4"/>
      <c r="AI1300" s="4"/>
      <c r="AJ1300" s="4"/>
      <c r="AK1300" s="3"/>
      <c r="AL1300" s="3"/>
      <c r="AM1300" s="3"/>
      <c r="AN1300" s="3"/>
      <c r="AO1300" s="4"/>
      <c r="AP1300" s="4"/>
      <c r="AQ1300" s="4"/>
      <c r="AR1300" s="4"/>
      <c r="AS1300" s="4"/>
      <c r="AT1300" s="4"/>
      <c r="AU1300" s="4"/>
      <c r="AV1300" s="4"/>
      <c r="AW1300" s="4"/>
      <c r="AX1300" s="4"/>
      <c r="AY1300" s="4"/>
      <c r="AZ1300" s="4"/>
      <c r="BA1300" s="3"/>
      <c r="BB1300" s="4"/>
      <c r="BC1300" s="3"/>
      <c r="BD1300" s="3"/>
      <c r="BE1300" s="3"/>
      <c r="BF1300" s="4"/>
      <c r="BG1300" s="3"/>
      <c r="BH1300" s="3"/>
      <c r="BI1300" s="4"/>
      <c r="BJ1300" s="4"/>
      <c r="BK1300" s="4"/>
      <c r="BL1300" s="4"/>
      <c r="BM1300" s="4"/>
      <c r="BN1300" s="4"/>
      <c r="BO1300" s="4"/>
      <c r="BP1300" s="4"/>
      <c r="BQ1300" s="4"/>
      <c r="BR1300" s="4"/>
      <c r="BS1300" s="4"/>
      <c r="BT1300" s="4"/>
      <c r="BU1300" s="4"/>
      <c r="BV1300" s="4"/>
      <c r="BW1300" s="4"/>
      <c r="BX1300" s="4"/>
      <c r="BY1300" s="4"/>
      <c r="BZ1300" s="4"/>
      <c r="CA1300" s="4"/>
      <c r="CB1300" s="4"/>
      <c r="CC1300" s="4"/>
      <c r="CD1300" s="4"/>
      <c r="CE1300" s="4"/>
      <c r="CF1300" s="4"/>
      <c r="CG1300" s="4"/>
      <c r="CH1300" s="4"/>
      <c r="CI1300" s="4"/>
      <c r="CJ1300" s="4"/>
      <c r="CK1300" s="4"/>
      <c r="CL1300" s="4"/>
      <c r="CM1300" s="4"/>
      <c r="CN1300" s="4"/>
      <c r="CO1300" s="4"/>
      <c r="CP1300" s="4"/>
      <c r="CQ1300" s="4"/>
      <c r="CR1300" s="4"/>
      <c r="CS1300" s="4"/>
      <c r="CT1300" s="4"/>
      <c r="CU1300" s="4"/>
      <c r="CV1300" s="4"/>
      <c r="CW1300" s="4"/>
      <c r="CX1300" s="4"/>
      <c r="CY1300" s="4"/>
      <c r="CZ1300" s="4"/>
      <c r="DA1300" s="4"/>
      <c r="DB1300" s="3"/>
      <c r="DC1300" s="3"/>
      <c r="DD1300" s="3"/>
      <c r="DE1300" s="4"/>
      <c r="DF1300" s="4"/>
      <c r="DG1300" s="4"/>
      <c r="DH1300" s="4"/>
      <c r="DI1300" s="8"/>
      <c r="DJ1300" s="8"/>
      <c r="DK1300" s="8"/>
      <c r="DL1300" s="8"/>
      <c r="DM1300" s="4"/>
      <c r="DN1300" s="4"/>
      <c r="DO1300" s="4"/>
      <c r="DP1300" s="4"/>
      <c r="DQ1300" s="4"/>
      <c r="DR1300" s="4"/>
      <c r="DS1300" s="4"/>
      <c r="DT1300" s="4"/>
      <c r="DU1300" s="4"/>
      <c r="DV1300" s="4"/>
      <c r="DW1300" s="4"/>
      <c r="DX1300" s="4"/>
      <c r="DY1300" s="4"/>
      <c r="DZ1300" s="4"/>
      <c r="EA1300" s="4"/>
      <c r="EB1300" s="4"/>
      <c r="EC1300" s="4"/>
      <c r="ED1300" s="4"/>
      <c r="EE1300" s="4"/>
      <c r="EF1300" s="4"/>
      <c r="EG1300" s="3"/>
      <c r="EH1300" s="3"/>
      <c r="EI1300" s="3"/>
      <c r="EJ1300" s="3"/>
      <c r="EK1300" s="3"/>
      <c r="EL1300" s="3"/>
      <c r="EM1300" s="4"/>
      <c r="EN1300" s="4"/>
      <c r="EO1300" s="3"/>
    </row>
    <row r="1301" spans="1:150" hidden="1">
      <c r="A1301" s="11" t="s">
        <v>9940</v>
      </c>
      <c r="B1301" s="3" t="s">
        <v>8373</v>
      </c>
      <c r="C1301" s="3">
        <v>2013</v>
      </c>
      <c r="D1301" s="3" t="s">
        <v>8680</v>
      </c>
      <c r="E1301" s="3" t="s">
        <v>8681</v>
      </c>
      <c r="F1301" s="3">
        <v>1</v>
      </c>
      <c r="G1301" s="3"/>
      <c r="H1301" s="3" t="s">
        <v>8682</v>
      </c>
      <c r="I1301" s="3"/>
      <c r="J1301" s="3"/>
      <c r="K1301" s="3" t="s">
        <v>252</v>
      </c>
      <c r="L1301" s="4"/>
      <c r="M1301" s="3" t="s">
        <v>8427</v>
      </c>
      <c r="T1301" s="3" t="s">
        <v>782</v>
      </c>
      <c r="V1301" s="3"/>
      <c r="W1301" s="4"/>
      <c r="X1301" s="5" t="s">
        <v>785</v>
      </c>
      <c r="Y1301" s="5"/>
      <c r="Z1301" s="3">
        <v>1</v>
      </c>
      <c r="AA1301" s="4"/>
      <c r="AB1301" s="4"/>
      <c r="AE1301" s="3"/>
      <c r="AF1301" s="3"/>
      <c r="AG1301" s="4"/>
      <c r="AH1301" s="4"/>
      <c r="AI1301" s="4"/>
      <c r="AJ1301" s="4"/>
      <c r="AK1301" s="3"/>
      <c r="AL1301" s="3"/>
      <c r="AM1301" s="3"/>
      <c r="AN1301" s="3"/>
      <c r="AO1301" s="4"/>
      <c r="AP1301" s="3"/>
      <c r="AQ1301" s="4"/>
      <c r="AR1301" s="3"/>
      <c r="AS1301" s="3"/>
      <c r="AT1301" s="4"/>
      <c r="AU1301" s="3"/>
      <c r="AV1301" s="4"/>
      <c r="AW1301" s="4"/>
      <c r="AX1301" s="4"/>
      <c r="AY1301" s="4"/>
      <c r="AZ1301" s="4"/>
      <c r="BA1301" s="4"/>
      <c r="BB1301" s="4"/>
      <c r="BC1301" s="4"/>
      <c r="BD1301" s="4"/>
      <c r="BE1301" s="4"/>
      <c r="BF1301" s="3"/>
      <c r="BG1301" s="3"/>
      <c r="BH1301" s="3"/>
      <c r="BI1301" s="4"/>
      <c r="BJ1301" s="3"/>
      <c r="BK1301" s="4"/>
      <c r="BL1301" s="4"/>
      <c r="BM1301" s="3"/>
      <c r="BN1301" s="4"/>
      <c r="BO1301" s="4"/>
      <c r="BP1301" s="4"/>
      <c r="BQ1301" s="4"/>
      <c r="BR1301" s="4"/>
      <c r="BS1301" s="4"/>
      <c r="BT1301" s="4"/>
      <c r="BU1301" s="4"/>
      <c r="BV1301" s="4"/>
      <c r="BW1301" s="4"/>
      <c r="BX1301" s="4"/>
      <c r="BY1301" s="4"/>
      <c r="BZ1301" s="4"/>
      <c r="CA1301" s="4"/>
      <c r="CB1301" s="4"/>
      <c r="CC1301" s="4"/>
      <c r="CD1301" s="4"/>
      <c r="CE1301" s="4"/>
      <c r="CF1301" s="4"/>
      <c r="CG1301" s="4"/>
      <c r="CH1301" s="4"/>
      <c r="CI1301" s="4"/>
      <c r="CJ1301" s="4"/>
      <c r="CK1301" s="4"/>
      <c r="CL1301" s="4"/>
      <c r="CM1301" s="4"/>
      <c r="CN1301" s="4"/>
      <c r="CO1301" s="4"/>
      <c r="CP1301" s="4"/>
      <c r="CQ1301" s="4"/>
      <c r="CR1301" s="4"/>
      <c r="CS1301" s="4"/>
      <c r="CT1301" s="4"/>
      <c r="CU1301" s="4"/>
      <c r="CV1301" s="4"/>
      <c r="CW1301" s="4"/>
      <c r="CX1301" s="4"/>
      <c r="CY1301" s="4"/>
      <c r="CZ1301" s="4"/>
      <c r="DA1301" s="3"/>
      <c r="DB1301" s="3"/>
      <c r="DC1301" s="8"/>
      <c r="DD1301" s="4"/>
      <c r="DE1301" s="4"/>
      <c r="DF1301" s="4"/>
      <c r="DG1301" s="4"/>
      <c r="DH1301" s="8"/>
      <c r="DI1301" s="8"/>
      <c r="DJ1301" s="8"/>
      <c r="DK1301" s="8"/>
      <c r="DL1301" s="4"/>
      <c r="DM1301" s="4"/>
      <c r="DN1301" s="4"/>
      <c r="DO1301" s="4"/>
      <c r="DP1301" s="4"/>
      <c r="DQ1301" s="4"/>
      <c r="DR1301" s="4"/>
      <c r="DS1301" s="4"/>
      <c r="DT1301" s="4"/>
      <c r="DU1301" s="4"/>
      <c r="DV1301" s="4"/>
      <c r="DW1301" s="4"/>
      <c r="DX1301" s="4"/>
      <c r="DY1301" s="4"/>
      <c r="DZ1301" s="4"/>
      <c r="EA1301" s="4"/>
      <c r="EB1301" s="4"/>
      <c r="EC1301" s="4"/>
      <c r="ED1301" s="4"/>
      <c r="EE1301" s="4"/>
      <c r="EF1301" s="8"/>
      <c r="EG1301" s="8"/>
      <c r="EH1301" s="8"/>
      <c r="EI1301" s="8"/>
      <c r="EJ1301" s="8"/>
      <c r="EK1301" s="8"/>
      <c r="EL1301" s="4"/>
      <c r="EM1301" s="4"/>
      <c r="EN1301" s="4"/>
    </row>
    <row r="1302" spans="1:150" hidden="1">
      <c r="A1302" s="11" t="s">
        <v>9940</v>
      </c>
      <c r="B1302" s="3" t="s">
        <v>8373</v>
      </c>
      <c r="C1302" s="3">
        <v>2011</v>
      </c>
      <c r="D1302" s="3" t="s">
        <v>7170</v>
      </c>
      <c r="E1302" s="3" t="s">
        <v>8683</v>
      </c>
      <c r="F1302" s="3">
        <v>1</v>
      </c>
      <c r="G1302" s="3"/>
      <c r="H1302" s="3" t="s">
        <v>8685</v>
      </c>
      <c r="I1302" s="3"/>
      <c r="J1302" s="3"/>
      <c r="K1302" s="3" t="s">
        <v>172</v>
      </c>
      <c r="L1302" s="4"/>
      <c r="M1302" s="3" t="s">
        <v>8684</v>
      </c>
      <c r="T1302" s="3" t="s">
        <v>7172</v>
      </c>
      <c r="V1302" s="3"/>
      <c r="W1302" s="4"/>
      <c r="X1302" s="5" t="s">
        <v>7175</v>
      </c>
      <c r="Y1302" s="5"/>
      <c r="Z1302" s="3">
        <v>1</v>
      </c>
      <c r="AA1302" s="4"/>
      <c r="AB1302" s="4"/>
      <c r="AE1302" s="3"/>
      <c r="AF1302" s="3"/>
      <c r="AG1302" s="4"/>
      <c r="AH1302" s="4"/>
      <c r="AI1302" s="4"/>
      <c r="AJ1302" s="4"/>
      <c r="AK1302" s="3"/>
      <c r="AL1302" s="3"/>
      <c r="AM1302" s="3"/>
      <c r="AN1302" s="3"/>
      <c r="AO1302" s="4"/>
      <c r="AP1302" s="3"/>
      <c r="AQ1302" s="4"/>
      <c r="AR1302" s="3"/>
      <c r="AS1302" s="3"/>
      <c r="AT1302" s="4"/>
      <c r="AU1302" s="3"/>
      <c r="AV1302" s="4"/>
      <c r="AW1302" s="4"/>
      <c r="AX1302" s="4"/>
      <c r="AY1302" s="4"/>
      <c r="AZ1302" s="4"/>
      <c r="BA1302" s="4"/>
      <c r="BB1302" s="4"/>
      <c r="BC1302" s="4"/>
      <c r="BD1302" s="4"/>
      <c r="BE1302" s="4"/>
      <c r="BF1302" s="3"/>
      <c r="BG1302" s="3"/>
      <c r="BH1302" s="3"/>
      <c r="BI1302" s="4"/>
      <c r="BJ1302" s="3"/>
      <c r="BK1302" s="4"/>
      <c r="BL1302" s="4"/>
      <c r="BM1302" s="3"/>
      <c r="BN1302" s="4"/>
      <c r="BO1302" s="4"/>
      <c r="BP1302" s="4"/>
      <c r="BQ1302" s="4"/>
      <c r="BR1302" s="4"/>
      <c r="BS1302" s="4"/>
      <c r="BT1302" s="4"/>
      <c r="BU1302" s="4"/>
      <c r="BV1302" s="4"/>
      <c r="BW1302" s="4"/>
      <c r="BX1302" s="4"/>
      <c r="BY1302" s="4"/>
      <c r="BZ1302" s="4"/>
      <c r="CA1302" s="4"/>
      <c r="CB1302" s="4"/>
      <c r="CC1302" s="4"/>
      <c r="CD1302" s="4"/>
      <c r="CE1302" s="4"/>
      <c r="CF1302" s="4"/>
      <c r="CG1302" s="4"/>
      <c r="CH1302" s="4"/>
      <c r="CI1302" s="4"/>
      <c r="CJ1302" s="4"/>
      <c r="CK1302" s="4"/>
      <c r="CL1302" s="4"/>
      <c r="CM1302" s="4"/>
      <c r="CN1302" s="4"/>
      <c r="CO1302" s="4"/>
      <c r="CP1302" s="4"/>
      <c r="CQ1302" s="4"/>
      <c r="CR1302" s="4"/>
      <c r="CS1302" s="4"/>
      <c r="CT1302" s="3"/>
      <c r="CU1302" s="3"/>
      <c r="CV1302" s="8"/>
      <c r="CW1302" s="4"/>
      <c r="CX1302" s="4"/>
      <c r="CY1302" s="4"/>
      <c r="CZ1302" s="4"/>
      <c r="DA1302" s="8"/>
      <c r="DB1302" s="8"/>
      <c r="DC1302" s="8"/>
      <c r="DD1302" s="8"/>
      <c r="DE1302" s="4"/>
      <c r="DF1302" s="4"/>
      <c r="DG1302" s="4"/>
      <c r="DH1302" s="4"/>
      <c r="DI1302" s="4"/>
      <c r="DJ1302" s="4"/>
      <c r="DK1302" s="4"/>
      <c r="DL1302" s="4"/>
      <c r="DM1302" s="4"/>
      <c r="DN1302" s="4"/>
      <c r="DO1302" s="4"/>
      <c r="DP1302" s="4"/>
      <c r="DQ1302" s="4"/>
      <c r="DR1302" s="4"/>
      <c r="DS1302" s="4"/>
      <c r="DT1302" s="4"/>
      <c r="DU1302" s="4"/>
      <c r="DV1302" s="4"/>
      <c r="DW1302" s="4"/>
      <c r="DX1302" s="4"/>
      <c r="DY1302" s="8"/>
      <c r="DZ1302" s="8"/>
      <c r="EA1302" s="8"/>
      <c r="EB1302" s="8"/>
      <c r="EC1302" s="8"/>
      <c r="ED1302" s="8"/>
      <c r="EE1302" s="4"/>
      <c r="EF1302" s="4"/>
      <c r="EG1302" s="4"/>
    </row>
    <row r="1303" spans="1:150" hidden="1">
      <c r="A1303" s="11" t="s">
        <v>9940</v>
      </c>
      <c r="B1303" s="3" t="s">
        <v>8373</v>
      </c>
      <c r="C1303" s="3">
        <v>2014</v>
      </c>
      <c r="D1303" s="3" t="s">
        <v>6499</v>
      </c>
      <c r="E1303" s="3" t="s">
        <v>8686</v>
      </c>
      <c r="F1303" s="3">
        <v>1</v>
      </c>
      <c r="G1303" s="3"/>
      <c r="H1303" s="3" t="s">
        <v>6503</v>
      </c>
      <c r="I1303" s="3"/>
      <c r="J1303" s="3"/>
      <c r="K1303" s="3" t="s">
        <v>132</v>
      </c>
      <c r="L1303" s="4"/>
      <c r="M1303" s="3" t="s">
        <v>8382</v>
      </c>
      <c r="T1303" s="3" t="s">
        <v>6501</v>
      </c>
      <c r="V1303" s="3"/>
      <c r="W1303" s="3"/>
      <c r="X1303" s="5" t="s">
        <v>6504</v>
      </c>
      <c r="Y1303" s="5"/>
      <c r="Z1303" s="3">
        <v>1</v>
      </c>
      <c r="AA1303" s="4"/>
      <c r="AB1303" s="4"/>
      <c r="AE1303" s="3"/>
      <c r="AF1303" s="3"/>
      <c r="AG1303" s="4"/>
      <c r="AH1303" s="4"/>
      <c r="AI1303" s="4"/>
      <c r="AJ1303" s="4"/>
      <c r="AK1303" s="3"/>
      <c r="AL1303" s="3"/>
      <c r="AM1303" s="3"/>
      <c r="AN1303" s="3"/>
      <c r="AO1303" s="4"/>
      <c r="AP1303" s="3"/>
      <c r="AQ1303" s="4"/>
      <c r="AR1303" s="4"/>
      <c r="AS1303" s="3"/>
      <c r="AT1303" s="4"/>
      <c r="AU1303" s="3"/>
      <c r="AV1303" s="4"/>
      <c r="AW1303" s="4"/>
      <c r="AX1303" s="4"/>
      <c r="AY1303" s="4"/>
      <c r="AZ1303" s="4"/>
      <c r="BA1303" s="4"/>
      <c r="BB1303" s="4"/>
      <c r="BC1303" s="4"/>
      <c r="BD1303" s="4"/>
      <c r="BE1303" s="4"/>
      <c r="BF1303" s="3"/>
      <c r="BG1303" s="3"/>
      <c r="BH1303" s="3"/>
      <c r="BI1303" s="4"/>
      <c r="BJ1303" s="3"/>
      <c r="BK1303" s="4"/>
      <c r="BL1303" s="4"/>
      <c r="BM1303" s="3"/>
      <c r="BN1303" s="4"/>
      <c r="BO1303" s="4"/>
      <c r="BP1303" s="4"/>
      <c r="BQ1303" s="4"/>
      <c r="BR1303" s="4"/>
      <c r="BS1303" s="4"/>
      <c r="BT1303" s="4"/>
      <c r="BU1303" s="4"/>
      <c r="BV1303" s="4"/>
      <c r="BW1303" s="4"/>
      <c r="BX1303" s="4"/>
      <c r="BY1303" s="4"/>
      <c r="BZ1303" s="4"/>
      <c r="CA1303" s="4"/>
      <c r="CB1303" s="4"/>
      <c r="CC1303" s="4"/>
      <c r="CD1303" s="4"/>
      <c r="CE1303" s="4"/>
      <c r="CF1303" s="4"/>
      <c r="CG1303" s="4"/>
      <c r="CH1303" s="4"/>
      <c r="CI1303" s="4"/>
      <c r="CJ1303" s="4"/>
      <c r="CK1303" s="4"/>
      <c r="CL1303" s="4"/>
      <c r="CM1303" s="4"/>
      <c r="CN1303" s="4"/>
      <c r="CO1303" s="4"/>
      <c r="CP1303" s="4"/>
      <c r="CQ1303" s="4"/>
      <c r="CR1303" s="4"/>
      <c r="CS1303" s="4"/>
      <c r="CT1303" s="4"/>
      <c r="CU1303" s="4"/>
      <c r="CV1303" s="4"/>
      <c r="CW1303" s="3"/>
      <c r="CX1303" s="3"/>
      <c r="CY1303" s="8"/>
      <c r="CZ1303" s="4"/>
      <c r="DA1303" s="4"/>
      <c r="DB1303" s="4"/>
      <c r="DC1303" s="4"/>
      <c r="DD1303" s="8"/>
      <c r="DE1303" s="8"/>
      <c r="DF1303" s="8"/>
      <c r="DG1303" s="8"/>
      <c r="DH1303" s="4"/>
      <c r="DI1303" s="4"/>
      <c r="DJ1303" s="4"/>
      <c r="DK1303" s="4"/>
      <c r="DL1303" s="4"/>
      <c r="DM1303" s="4"/>
      <c r="DN1303" s="4"/>
      <c r="DO1303" s="4"/>
      <c r="DP1303" s="4"/>
      <c r="DQ1303" s="4"/>
      <c r="DR1303" s="4"/>
      <c r="DS1303" s="4"/>
      <c r="DT1303" s="4"/>
      <c r="DU1303" s="4"/>
      <c r="DV1303" s="4"/>
      <c r="DW1303" s="4"/>
      <c r="DX1303" s="4"/>
      <c r="DY1303" s="4"/>
      <c r="DZ1303" s="4"/>
      <c r="EA1303" s="4"/>
      <c r="EB1303" s="8"/>
      <c r="EC1303" s="8"/>
      <c r="ED1303" s="8"/>
      <c r="EE1303" s="8"/>
      <c r="EF1303" s="8"/>
      <c r="EG1303" s="8"/>
      <c r="EH1303" s="4"/>
      <c r="EI1303" s="4"/>
      <c r="EJ1303" s="4"/>
    </row>
    <row r="1304" spans="1:150" hidden="1">
      <c r="A1304" s="11" t="s">
        <v>9940</v>
      </c>
      <c r="B1304" s="3" t="s">
        <v>8373</v>
      </c>
      <c r="C1304" s="3">
        <v>2011</v>
      </c>
      <c r="D1304" s="3" t="s">
        <v>1572</v>
      </c>
      <c r="E1304" s="3" t="s">
        <v>8687</v>
      </c>
      <c r="F1304" s="3">
        <v>1</v>
      </c>
      <c r="G1304" s="3"/>
      <c r="H1304" s="3" t="s">
        <v>1577</v>
      </c>
      <c r="I1304" s="3"/>
      <c r="J1304" s="3"/>
      <c r="K1304" s="3" t="s">
        <v>1573</v>
      </c>
      <c r="L1304" s="4"/>
      <c r="M1304" s="3" t="s">
        <v>8688</v>
      </c>
      <c r="T1304" s="3" t="s">
        <v>1575</v>
      </c>
      <c r="V1304" s="3"/>
      <c r="W1304" s="3"/>
      <c r="X1304" s="5" t="s">
        <v>1578</v>
      </c>
      <c r="Y1304" s="5"/>
      <c r="Z1304" s="3">
        <v>1</v>
      </c>
      <c r="AA1304" s="4"/>
      <c r="AB1304" s="3"/>
      <c r="AE1304" s="3"/>
      <c r="AF1304" s="3"/>
      <c r="AG1304" s="4"/>
      <c r="AH1304" s="4"/>
      <c r="AI1304" s="4"/>
      <c r="AJ1304" s="4"/>
      <c r="AK1304" s="3"/>
      <c r="AL1304" s="3"/>
      <c r="AM1304" s="3"/>
      <c r="AN1304" s="3"/>
      <c r="AO1304" s="4"/>
      <c r="AP1304" s="3"/>
      <c r="AQ1304" s="4"/>
      <c r="AR1304" s="3"/>
      <c r="AS1304" s="3"/>
      <c r="AT1304" s="4"/>
      <c r="AU1304" s="3"/>
      <c r="AV1304" s="4"/>
      <c r="AW1304" s="4"/>
      <c r="AX1304" s="4"/>
      <c r="AY1304" s="4"/>
      <c r="AZ1304" s="4"/>
      <c r="BA1304" s="4"/>
      <c r="BB1304" s="4"/>
      <c r="BC1304" s="4"/>
      <c r="BD1304" s="4"/>
      <c r="BE1304" s="4"/>
      <c r="BF1304" s="3"/>
      <c r="BG1304" s="3"/>
      <c r="BH1304" s="3"/>
      <c r="BI1304" s="4"/>
      <c r="BJ1304" s="3"/>
      <c r="BK1304" s="4"/>
      <c r="BL1304" s="4"/>
      <c r="BM1304" s="4"/>
      <c r="BN1304" s="3"/>
      <c r="BO1304" s="4"/>
      <c r="BP1304" s="4"/>
      <c r="BQ1304" s="4"/>
      <c r="BR1304" s="4"/>
      <c r="BS1304" s="4"/>
      <c r="BT1304" s="4"/>
      <c r="BU1304" s="4"/>
      <c r="BV1304" s="4"/>
      <c r="BW1304" s="4"/>
      <c r="BX1304" s="4"/>
      <c r="BY1304" s="4"/>
      <c r="BZ1304" s="4"/>
      <c r="CA1304" s="4"/>
      <c r="CB1304" s="4"/>
      <c r="CC1304" s="4"/>
      <c r="CD1304" s="4"/>
      <c r="CE1304" s="4"/>
      <c r="CF1304" s="4"/>
      <c r="CG1304" s="4"/>
      <c r="CH1304" s="4"/>
      <c r="CI1304" s="4"/>
      <c r="CJ1304" s="4"/>
      <c r="CK1304" s="4"/>
      <c r="CL1304" s="4"/>
      <c r="CM1304" s="4"/>
      <c r="CN1304" s="4"/>
      <c r="CO1304" s="4"/>
      <c r="CP1304" s="4"/>
      <c r="CQ1304" s="3"/>
      <c r="CR1304" s="3"/>
      <c r="CS1304" s="8"/>
      <c r="CT1304" s="4"/>
      <c r="CU1304" s="4"/>
      <c r="CV1304" s="4"/>
      <c r="CW1304" s="4"/>
      <c r="CX1304" s="8"/>
      <c r="CY1304" s="8"/>
      <c r="CZ1304" s="8"/>
      <c r="DA1304" s="8"/>
      <c r="DB1304" s="4"/>
      <c r="DC1304" s="4"/>
      <c r="DD1304" s="4"/>
      <c r="DE1304" s="4"/>
      <c r="DF1304" s="4"/>
      <c r="DG1304" s="4"/>
      <c r="DH1304" s="4"/>
      <c r="DI1304" s="4"/>
      <c r="DJ1304" s="4"/>
      <c r="DK1304" s="4"/>
      <c r="DL1304" s="4"/>
      <c r="DM1304" s="4"/>
      <c r="DN1304" s="4"/>
      <c r="DO1304" s="4"/>
      <c r="DP1304" s="4"/>
      <c r="DQ1304" s="4"/>
      <c r="DR1304" s="4"/>
      <c r="DS1304" s="4"/>
      <c r="DT1304" s="4"/>
      <c r="DU1304" s="4"/>
      <c r="DV1304" s="8"/>
      <c r="DW1304" s="8"/>
      <c r="DX1304" s="8"/>
      <c r="DY1304" s="8"/>
      <c r="DZ1304" s="8"/>
      <c r="EA1304" s="8"/>
      <c r="EB1304" s="4"/>
      <c r="EC1304" s="4"/>
      <c r="ED1304" s="4"/>
    </row>
    <row r="1305" spans="1:150" hidden="1">
      <c r="A1305" s="11" t="s">
        <v>9940</v>
      </c>
      <c r="B1305" s="3" t="s">
        <v>8373</v>
      </c>
      <c r="C1305" s="3">
        <v>2012</v>
      </c>
      <c r="D1305" s="3" t="s">
        <v>188</v>
      </c>
      <c r="E1305" s="3" t="s">
        <v>8689</v>
      </c>
      <c r="F1305" s="3">
        <v>1</v>
      </c>
      <c r="G1305" s="3"/>
      <c r="H1305" s="3" t="s">
        <v>193</v>
      </c>
      <c r="I1305" s="3"/>
      <c r="J1305" s="3"/>
      <c r="K1305" s="3" t="s">
        <v>189</v>
      </c>
      <c r="L1305" s="4"/>
      <c r="M1305" s="3" t="s">
        <v>8690</v>
      </c>
      <c r="T1305" s="3" t="s">
        <v>191</v>
      </c>
      <c r="V1305" s="3"/>
      <c r="W1305" s="4"/>
      <c r="X1305" s="5" t="s">
        <v>194</v>
      </c>
      <c r="Y1305" s="5"/>
      <c r="Z1305" s="3">
        <v>1</v>
      </c>
      <c r="AA1305" s="4"/>
      <c r="AB1305" s="4"/>
      <c r="AE1305" s="3"/>
      <c r="AF1305" s="3"/>
      <c r="AG1305" s="4"/>
      <c r="AH1305" s="4"/>
      <c r="AI1305" s="4"/>
      <c r="AJ1305" s="4"/>
      <c r="AK1305" s="3"/>
      <c r="AL1305" s="3"/>
      <c r="AM1305" s="3"/>
      <c r="AN1305" s="3"/>
      <c r="AO1305" s="4"/>
      <c r="AP1305" s="3"/>
      <c r="AQ1305" s="4"/>
      <c r="AR1305" s="3"/>
      <c r="AS1305" s="3"/>
      <c r="AT1305" s="4"/>
      <c r="AU1305" s="3"/>
      <c r="AV1305" s="4"/>
      <c r="AW1305" s="4"/>
      <c r="AX1305" s="4"/>
      <c r="AY1305" s="4"/>
      <c r="AZ1305" s="4"/>
      <c r="BA1305" s="4"/>
      <c r="BB1305" s="4"/>
      <c r="BC1305" s="4"/>
      <c r="BD1305" s="4"/>
      <c r="BE1305" s="4"/>
      <c r="BF1305" s="3"/>
      <c r="BG1305" s="3"/>
      <c r="BH1305" s="3"/>
      <c r="BI1305" s="4"/>
      <c r="BJ1305" s="3"/>
      <c r="BK1305" s="4"/>
      <c r="BL1305" s="4"/>
      <c r="BM1305" s="3"/>
      <c r="BN1305" s="4"/>
      <c r="BO1305" s="4"/>
      <c r="BP1305" s="4"/>
      <c r="BQ1305" s="4"/>
      <c r="BR1305" s="4"/>
      <c r="BS1305" s="4"/>
      <c r="BT1305" s="4"/>
      <c r="BU1305" s="4"/>
      <c r="BV1305" s="4"/>
      <c r="BW1305" s="4"/>
      <c r="BX1305" s="4"/>
      <c r="BY1305" s="4"/>
      <c r="BZ1305" s="4"/>
      <c r="CA1305" s="4"/>
      <c r="CB1305" s="4"/>
      <c r="CC1305" s="4"/>
      <c r="CD1305" s="4"/>
      <c r="CE1305" s="4"/>
      <c r="CF1305" s="4"/>
      <c r="CG1305" s="4"/>
      <c r="CH1305" s="4"/>
      <c r="CI1305" s="4"/>
      <c r="CJ1305" s="4"/>
      <c r="CK1305" s="4"/>
      <c r="CL1305" s="4"/>
      <c r="CM1305" s="4"/>
      <c r="CN1305" s="4"/>
      <c r="CO1305" s="4"/>
      <c r="CP1305" s="4"/>
      <c r="CQ1305" s="4"/>
      <c r="CR1305" s="4"/>
      <c r="CS1305" s="4"/>
      <c r="CT1305" s="4"/>
      <c r="CU1305" s="4"/>
      <c r="CV1305" s="4"/>
      <c r="CW1305" s="4"/>
      <c r="CX1305" s="4"/>
      <c r="CY1305" s="4"/>
      <c r="CZ1305" s="4"/>
      <c r="DA1305" s="4"/>
      <c r="DB1305" s="3"/>
      <c r="DC1305" s="3"/>
      <c r="DD1305" s="8"/>
      <c r="DE1305" s="4"/>
      <c r="DF1305" s="4"/>
      <c r="DG1305" s="4"/>
      <c r="DH1305" s="4"/>
      <c r="DI1305" s="8"/>
      <c r="DJ1305" s="8"/>
      <c r="DK1305" s="8"/>
      <c r="DL1305" s="8"/>
      <c r="DM1305" s="4"/>
      <c r="DN1305" s="4"/>
      <c r="DO1305" s="4"/>
      <c r="DP1305" s="4"/>
      <c r="DQ1305" s="4"/>
      <c r="DR1305" s="4"/>
      <c r="DS1305" s="4"/>
      <c r="DT1305" s="4"/>
      <c r="DU1305" s="4"/>
      <c r="DV1305" s="4"/>
      <c r="DW1305" s="4"/>
      <c r="DX1305" s="4"/>
      <c r="DY1305" s="4"/>
      <c r="DZ1305" s="4"/>
      <c r="EA1305" s="4"/>
      <c r="EB1305" s="4"/>
      <c r="EC1305" s="4"/>
      <c r="ED1305" s="4"/>
      <c r="EE1305" s="4"/>
      <c r="EF1305" s="4"/>
      <c r="EG1305" s="8"/>
      <c r="EH1305" s="8"/>
      <c r="EI1305" s="8"/>
      <c r="EJ1305" s="8"/>
      <c r="EK1305" s="8"/>
      <c r="EL1305" s="8"/>
      <c r="EM1305" s="4"/>
      <c r="EN1305" s="4"/>
      <c r="EO1305" s="4"/>
    </row>
    <row r="1306" spans="1:150" hidden="1">
      <c r="A1306" s="11" t="s">
        <v>9940</v>
      </c>
      <c r="B1306" s="3" t="s">
        <v>8373</v>
      </c>
      <c r="C1306" s="3">
        <v>2012</v>
      </c>
      <c r="D1306" s="3" t="s">
        <v>5445</v>
      </c>
      <c r="E1306" s="3" t="s">
        <v>8691</v>
      </c>
      <c r="F1306" s="3">
        <v>1</v>
      </c>
      <c r="G1306" s="3"/>
      <c r="H1306" s="3" t="s">
        <v>8693</v>
      </c>
      <c r="I1306" s="3"/>
      <c r="J1306" s="3"/>
      <c r="K1306" s="3" t="s">
        <v>1160</v>
      </c>
      <c r="L1306" s="4"/>
      <c r="M1306" s="3" t="s">
        <v>8692</v>
      </c>
      <c r="T1306" s="3" t="s">
        <v>5447</v>
      </c>
      <c r="V1306" s="3"/>
      <c r="W1306" s="3"/>
      <c r="X1306" s="5" t="s">
        <v>5450</v>
      </c>
      <c r="Y1306" s="5"/>
      <c r="Z1306" s="3">
        <v>1</v>
      </c>
      <c r="AA1306" s="4"/>
      <c r="AB1306" s="4"/>
      <c r="AE1306" s="3"/>
      <c r="AF1306" s="3"/>
      <c r="AG1306" s="4"/>
      <c r="AH1306" s="4"/>
      <c r="AI1306" s="4"/>
      <c r="AJ1306" s="4"/>
      <c r="AK1306" s="3"/>
      <c r="AL1306" s="3"/>
      <c r="AM1306" s="3"/>
      <c r="AN1306" s="3"/>
      <c r="AO1306" s="4"/>
      <c r="AP1306" s="3"/>
      <c r="AQ1306" s="4"/>
      <c r="AR1306" s="3"/>
      <c r="AS1306" s="3"/>
      <c r="AT1306" s="4"/>
      <c r="AU1306" s="3"/>
      <c r="AV1306" s="4"/>
      <c r="AW1306" s="4"/>
      <c r="AX1306" s="4"/>
      <c r="AY1306" s="4"/>
      <c r="AZ1306" s="4"/>
      <c r="BA1306" s="4"/>
      <c r="BB1306" s="4"/>
      <c r="BC1306" s="4"/>
      <c r="BD1306" s="4"/>
      <c r="BE1306" s="4"/>
      <c r="BF1306" s="3"/>
      <c r="BG1306" s="3"/>
      <c r="BH1306" s="3"/>
      <c r="BI1306" s="4"/>
      <c r="BJ1306" s="3"/>
      <c r="BK1306" s="4"/>
      <c r="BL1306" s="4"/>
      <c r="BM1306" s="4"/>
      <c r="BN1306" s="3"/>
      <c r="BO1306" s="4"/>
      <c r="BP1306" s="4"/>
      <c r="BQ1306" s="4"/>
      <c r="BR1306" s="4"/>
      <c r="BS1306" s="4"/>
      <c r="BT1306" s="4"/>
      <c r="BU1306" s="4"/>
      <c r="BV1306" s="4"/>
      <c r="BW1306" s="4"/>
      <c r="BX1306" s="4"/>
      <c r="BY1306" s="4"/>
      <c r="BZ1306" s="4"/>
      <c r="CA1306" s="3"/>
      <c r="CB1306" s="3"/>
      <c r="CC1306" s="8"/>
      <c r="CD1306" s="4"/>
      <c r="CE1306" s="4"/>
      <c r="CF1306" s="4"/>
      <c r="CG1306" s="4"/>
      <c r="CH1306" s="8"/>
      <c r="CI1306" s="8"/>
      <c r="CJ1306" s="8"/>
      <c r="CK1306" s="8"/>
      <c r="CL1306" s="4"/>
      <c r="CM1306" s="4"/>
      <c r="CN1306" s="4"/>
      <c r="CO1306" s="4"/>
      <c r="CP1306" s="4"/>
      <c r="CQ1306" s="4"/>
      <c r="CR1306" s="4"/>
      <c r="CS1306" s="4"/>
      <c r="CT1306" s="4"/>
      <c r="CU1306" s="4"/>
      <c r="CV1306" s="4"/>
      <c r="CW1306" s="4"/>
      <c r="CX1306" s="4"/>
      <c r="CY1306" s="4"/>
      <c r="CZ1306" s="4"/>
      <c r="DA1306" s="4"/>
      <c r="DB1306" s="4"/>
      <c r="DC1306" s="4"/>
      <c r="DD1306" s="4"/>
      <c r="DE1306" s="4"/>
      <c r="DF1306" s="8"/>
      <c r="DG1306" s="8"/>
      <c r="DH1306" s="8"/>
      <c r="DI1306" s="8"/>
      <c r="DJ1306" s="8"/>
      <c r="DK1306" s="8"/>
      <c r="DL1306" s="4"/>
      <c r="DM1306" s="4"/>
      <c r="DN1306" s="4"/>
    </row>
    <row r="1307" spans="1:150" hidden="1">
      <c r="A1307" s="11" t="s">
        <v>9940</v>
      </c>
      <c r="B1307" s="3" t="s">
        <v>8373</v>
      </c>
      <c r="C1307" s="3">
        <v>2015</v>
      </c>
      <c r="D1307" s="3" t="s">
        <v>2877</v>
      </c>
      <c r="E1307" s="3" t="s">
        <v>8694</v>
      </c>
      <c r="F1307" s="3">
        <v>1</v>
      </c>
      <c r="G1307" s="3"/>
      <c r="H1307" s="3" t="s">
        <v>2882</v>
      </c>
      <c r="I1307" s="3"/>
      <c r="J1307" s="3"/>
      <c r="K1307" s="3" t="s">
        <v>2878</v>
      </c>
      <c r="L1307" s="4"/>
      <c r="M1307" s="3" t="s">
        <v>8695</v>
      </c>
      <c r="T1307" s="3" t="s">
        <v>2880</v>
      </c>
      <c r="V1307" s="3"/>
      <c r="W1307" s="4"/>
      <c r="X1307" s="5" t="s">
        <v>2883</v>
      </c>
      <c r="Y1307" s="5"/>
      <c r="Z1307" s="3">
        <v>1</v>
      </c>
      <c r="AA1307" s="4"/>
      <c r="AB1307" s="4"/>
      <c r="AE1307" s="3"/>
      <c r="AF1307" s="3"/>
      <c r="AG1307" s="4"/>
      <c r="AH1307" s="4"/>
      <c r="AI1307" s="4"/>
      <c r="AJ1307" s="4"/>
      <c r="AK1307" s="3"/>
      <c r="AL1307" s="3"/>
      <c r="AM1307" s="3"/>
      <c r="AN1307" s="3"/>
      <c r="AO1307" s="4"/>
      <c r="AP1307" s="3"/>
      <c r="AQ1307" s="4"/>
      <c r="AR1307" s="3"/>
      <c r="AS1307" s="3"/>
      <c r="AT1307" s="4"/>
      <c r="AU1307" s="3"/>
      <c r="AV1307" s="4"/>
      <c r="AW1307" s="4"/>
      <c r="AX1307" s="4"/>
      <c r="AY1307" s="4"/>
      <c r="AZ1307" s="4"/>
      <c r="BA1307" s="4"/>
      <c r="BB1307" s="4"/>
      <c r="BC1307" s="4"/>
      <c r="BD1307" s="4"/>
      <c r="BE1307" s="4"/>
      <c r="BF1307" s="3"/>
      <c r="BG1307" s="3"/>
      <c r="BH1307" s="3"/>
      <c r="BI1307" s="4"/>
      <c r="BJ1307" s="3"/>
      <c r="BK1307" s="4"/>
      <c r="BL1307" s="4"/>
      <c r="BM1307" s="3"/>
      <c r="BN1307" s="4"/>
      <c r="BO1307" s="4"/>
      <c r="BP1307" s="4"/>
      <c r="BQ1307" s="4"/>
      <c r="BR1307" s="4"/>
      <c r="BS1307" s="4"/>
      <c r="BT1307" s="4"/>
      <c r="BU1307" s="4"/>
      <c r="BV1307" s="4"/>
      <c r="BW1307" s="4"/>
      <c r="BX1307" s="4"/>
      <c r="BY1307" s="4"/>
      <c r="BZ1307" s="4"/>
      <c r="CA1307" s="4"/>
      <c r="CB1307" s="4"/>
      <c r="CC1307" s="4"/>
      <c r="CD1307" s="4"/>
      <c r="CE1307" s="4"/>
      <c r="CF1307" s="4"/>
      <c r="CG1307" s="4"/>
      <c r="CH1307" s="4"/>
      <c r="CI1307" s="4"/>
      <c r="CJ1307" s="4"/>
      <c r="CK1307" s="4"/>
      <c r="CL1307" s="4"/>
      <c r="CM1307" s="4"/>
      <c r="CN1307" s="4"/>
      <c r="CO1307" s="4"/>
      <c r="CP1307" s="4"/>
      <c r="CQ1307" s="4"/>
      <c r="CR1307" s="4"/>
      <c r="CS1307" s="4"/>
      <c r="CT1307" s="4"/>
      <c r="CU1307" s="4"/>
      <c r="CV1307" s="4"/>
      <c r="CW1307" s="4"/>
      <c r="CX1307" s="3"/>
      <c r="CY1307" s="3"/>
      <c r="CZ1307" s="8"/>
      <c r="DA1307" s="4"/>
      <c r="DB1307" s="4"/>
      <c r="DC1307" s="4"/>
      <c r="DD1307" s="4"/>
      <c r="DE1307" s="8"/>
      <c r="DF1307" s="8"/>
      <c r="DG1307" s="8"/>
      <c r="DH1307" s="8"/>
      <c r="DI1307" s="4"/>
      <c r="DJ1307" s="4"/>
      <c r="DK1307" s="4"/>
      <c r="DL1307" s="4"/>
      <c r="DM1307" s="4"/>
      <c r="DN1307" s="4"/>
      <c r="DO1307" s="4"/>
      <c r="DP1307" s="4"/>
      <c r="DQ1307" s="4"/>
      <c r="DR1307" s="4"/>
      <c r="DS1307" s="4"/>
      <c r="DT1307" s="4"/>
      <c r="DU1307" s="4"/>
      <c r="DV1307" s="4"/>
      <c r="DW1307" s="4"/>
      <c r="DX1307" s="4"/>
      <c r="DY1307" s="4"/>
      <c r="DZ1307" s="4"/>
      <c r="EA1307" s="4"/>
      <c r="EB1307" s="4"/>
      <c r="EC1307" s="8"/>
      <c r="ED1307" s="8"/>
      <c r="EE1307" s="8"/>
      <c r="EF1307" s="8"/>
      <c r="EG1307" s="8"/>
      <c r="EH1307" s="8"/>
      <c r="EI1307" s="4"/>
      <c r="EJ1307" s="4"/>
      <c r="EK1307" s="4"/>
    </row>
    <row r="1308" spans="1:150" hidden="1">
      <c r="A1308" s="11" t="s">
        <v>9940</v>
      </c>
      <c r="B1308" s="3" t="s">
        <v>8373</v>
      </c>
      <c r="C1308" s="3">
        <v>2005</v>
      </c>
      <c r="D1308" s="3" t="s">
        <v>4875</v>
      </c>
      <c r="E1308" s="3" t="s">
        <v>8696</v>
      </c>
      <c r="F1308" s="3">
        <v>1</v>
      </c>
      <c r="G1308" s="3"/>
      <c r="H1308" s="3" t="s">
        <v>4879</v>
      </c>
      <c r="I1308" s="3"/>
      <c r="J1308" s="3"/>
      <c r="K1308" s="3" t="s">
        <v>485</v>
      </c>
      <c r="L1308" s="4"/>
      <c r="M1308" s="3" t="s">
        <v>8697</v>
      </c>
      <c r="T1308" s="3" t="s">
        <v>4877</v>
      </c>
      <c r="V1308" s="3"/>
      <c r="W1308" s="4"/>
      <c r="X1308" s="5" t="s">
        <v>4880</v>
      </c>
      <c r="Y1308" s="5"/>
      <c r="Z1308" s="3">
        <v>1</v>
      </c>
      <c r="AA1308" s="4"/>
      <c r="AB1308" s="4"/>
      <c r="AE1308" s="3"/>
      <c r="AF1308" s="3"/>
      <c r="AG1308" s="4"/>
      <c r="AH1308" s="4"/>
      <c r="AI1308" s="4"/>
      <c r="AJ1308" s="4"/>
      <c r="AK1308" s="3"/>
      <c r="AL1308" s="3"/>
      <c r="AM1308" s="3"/>
      <c r="AN1308" s="3"/>
      <c r="AO1308" s="4"/>
      <c r="AP1308" s="3"/>
      <c r="AQ1308" s="4"/>
      <c r="AR1308" s="3"/>
      <c r="AS1308" s="3"/>
      <c r="AT1308" s="4"/>
      <c r="AU1308" s="3"/>
      <c r="AV1308" s="4"/>
      <c r="AW1308" s="4"/>
      <c r="AX1308" s="4"/>
      <c r="AY1308" s="4"/>
      <c r="AZ1308" s="4"/>
      <c r="BA1308" s="4"/>
      <c r="BB1308" s="4"/>
      <c r="BC1308" s="4"/>
      <c r="BD1308" s="4"/>
      <c r="BE1308" s="4"/>
      <c r="BF1308" s="3"/>
      <c r="BG1308" s="3"/>
      <c r="BH1308" s="3"/>
      <c r="BI1308" s="4"/>
      <c r="BJ1308" s="3"/>
      <c r="BK1308" s="4"/>
      <c r="BL1308" s="4"/>
      <c r="BM1308" s="4"/>
      <c r="BN1308" s="3"/>
      <c r="BO1308" s="4"/>
      <c r="BP1308" s="4"/>
      <c r="BQ1308" s="4"/>
      <c r="BR1308" s="4"/>
      <c r="BS1308" s="4"/>
      <c r="BT1308" s="4"/>
      <c r="BU1308" s="4"/>
      <c r="BV1308" s="4"/>
      <c r="BW1308" s="4"/>
      <c r="BX1308" s="4"/>
      <c r="BY1308" s="4"/>
      <c r="BZ1308" s="4"/>
      <c r="CA1308" s="4"/>
      <c r="CB1308" s="4"/>
      <c r="CC1308" s="4"/>
      <c r="CD1308" s="4"/>
      <c r="CE1308" s="4"/>
      <c r="CF1308" s="4"/>
      <c r="CG1308" s="4"/>
      <c r="CH1308" s="4"/>
      <c r="CI1308" s="4"/>
      <c r="CJ1308" s="4"/>
      <c r="CK1308" s="4"/>
      <c r="CL1308" s="4"/>
      <c r="CM1308" s="4"/>
      <c r="CN1308" s="4"/>
      <c r="CO1308" s="4"/>
      <c r="CP1308" s="4"/>
      <c r="CQ1308" s="3"/>
      <c r="CR1308" s="3"/>
      <c r="CS1308" s="8"/>
      <c r="CT1308" s="4"/>
      <c r="CU1308" s="4"/>
      <c r="CV1308" s="4"/>
      <c r="CW1308" s="4"/>
      <c r="CX1308" s="8"/>
      <c r="CY1308" s="8"/>
      <c r="CZ1308" s="8"/>
      <c r="DA1308" s="8"/>
      <c r="DB1308" s="4"/>
      <c r="DC1308" s="4"/>
      <c r="DD1308" s="4"/>
      <c r="DE1308" s="4"/>
      <c r="DF1308" s="4"/>
      <c r="DG1308" s="4"/>
      <c r="DH1308" s="4"/>
      <c r="DI1308" s="4"/>
      <c r="DJ1308" s="4"/>
      <c r="DK1308" s="4"/>
      <c r="DL1308" s="4"/>
      <c r="DM1308" s="4"/>
      <c r="DN1308" s="4"/>
      <c r="DO1308" s="4"/>
      <c r="DP1308" s="4"/>
      <c r="DQ1308" s="4"/>
      <c r="DR1308" s="4"/>
      <c r="DS1308" s="4"/>
      <c r="DT1308" s="4"/>
      <c r="DU1308" s="4"/>
      <c r="DV1308" s="8"/>
      <c r="DW1308" s="8"/>
      <c r="DX1308" s="8"/>
      <c r="DY1308" s="8"/>
      <c r="DZ1308" s="8"/>
      <c r="EA1308" s="8"/>
      <c r="EB1308" s="4"/>
      <c r="EC1308" s="4"/>
      <c r="ED1308" s="4"/>
    </row>
    <row r="1309" spans="1:150" hidden="1">
      <c r="A1309" s="11" t="s">
        <v>9940</v>
      </c>
      <c r="B1309" s="3" t="s">
        <v>8373</v>
      </c>
      <c r="C1309" s="3">
        <v>2013</v>
      </c>
      <c r="D1309" s="3" t="s">
        <v>251</v>
      </c>
      <c r="E1309" s="3" t="s">
        <v>9423</v>
      </c>
      <c r="F1309" s="3">
        <v>1</v>
      </c>
      <c r="G1309" s="3"/>
      <c r="H1309" s="3" t="s">
        <v>256</v>
      </c>
      <c r="I1309" s="3"/>
      <c r="J1309" s="3"/>
      <c r="K1309" s="3" t="s">
        <v>252</v>
      </c>
      <c r="L1309" s="4"/>
      <c r="M1309" s="3" t="s">
        <v>8427</v>
      </c>
      <c r="T1309" s="3" t="s">
        <v>254</v>
      </c>
      <c r="V1309" s="3"/>
      <c r="W1309" s="4"/>
      <c r="X1309" s="5" t="s">
        <v>257</v>
      </c>
      <c r="Y1309" s="5"/>
      <c r="Z1309" s="3">
        <v>0</v>
      </c>
      <c r="AA1309" s="3" t="s">
        <v>9265</v>
      </c>
      <c r="AB1309" s="4"/>
      <c r="AE1309" s="3"/>
      <c r="AF1309" s="3"/>
      <c r="AG1309" s="4"/>
      <c r="AH1309" s="4"/>
      <c r="AI1309" s="4"/>
      <c r="AJ1309" s="4"/>
      <c r="AK1309" s="3"/>
      <c r="AL1309" s="3"/>
      <c r="AM1309" s="3"/>
      <c r="AN1309" s="3"/>
      <c r="AO1309" s="4"/>
      <c r="AP1309" s="3"/>
      <c r="AQ1309" s="3"/>
      <c r="AR1309" s="3"/>
      <c r="AS1309" s="4"/>
      <c r="AT1309" s="3"/>
      <c r="AU1309" s="4"/>
      <c r="AV1309" s="4"/>
      <c r="AW1309" s="4"/>
      <c r="AX1309" s="4"/>
      <c r="AY1309" s="4"/>
      <c r="AZ1309" s="4"/>
      <c r="BA1309" s="4"/>
      <c r="BB1309" s="4"/>
      <c r="BC1309" s="4"/>
      <c r="BD1309" s="4"/>
      <c r="BE1309" s="3"/>
      <c r="BF1309" s="3"/>
      <c r="BG1309" s="3"/>
      <c r="BH1309" s="4"/>
      <c r="BI1309" s="3"/>
      <c r="BJ1309" s="4"/>
      <c r="BK1309" s="4"/>
      <c r="BL1309" s="3"/>
      <c r="BM1309" s="4"/>
      <c r="BN1309" s="4"/>
      <c r="BO1309" s="4"/>
      <c r="BP1309" s="4"/>
      <c r="BQ1309" s="4"/>
      <c r="BR1309" s="4"/>
      <c r="BS1309" s="4"/>
      <c r="BT1309" s="4"/>
      <c r="BU1309" s="4"/>
      <c r="BV1309" s="4"/>
      <c r="BW1309" s="4"/>
      <c r="BX1309" s="4"/>
      <c r="BY1309" s="4"/>
      <c r="BZ1309" s="4"/>
      <c r="CA1309" s="4"/>
      <c r="CB1309" s="4"/>
      <c r="CC1309" s="4"/>
      <c r="CD1309" s="4"/>
      <c r="CE1309" s="4"/>
      <c r="CF1309" s="4"/>
      <c r="CG1309" s="4"/>
      <c r="CH1309" s="4"/>
      <c r="CI1309" s="4"/>
      <c r="CJ1309" s="4"/>
      <c r="CK1309" s="4"/>
      <c r="CL1309" s="4"/>
      <c r="CM1309" s="4"/>
      <c r="CN1309" s="4"/>
      <c r="CO1309" s="4"/>
      <c r="CP1309" s="4"/>
      <c r="CQ1309" s="4"/>
      <c r="CR1309" s="4"/>
      <c r="CS1309" s="4"/>
      <c r="CT1309" s="4"/>
      <c r="CU1309" s="4"/>
      <c r="CV1309" s="4"/>
      <c r="CW1309" s="4"/>
      <c r="CX1309" s="4"/>
      <c r="CY1309" s="4"/>
      <c r="CZ1309" s="4"/>
      <c r="DA1309" s="4"/>
      <c r="DB1309" s="4"/>
      <c r="DC1309" s="3"/>
      <c r="DD1309" s="3"/>
      <c r="DE1309" s="8"/>
      <c r="DF1309" s="4"/>
      <c r="DG1309" s="4"/>
      <c r="DH1309" s="4"/>
      <c r="DI1309" s="4"/>
      <c r="DJ1309" s="8"/>
      <c r="DK1309" s="8"/>
      <c r="DL1309" s="8"/>
      <c r="DM1309" s="8"/>
      <c r="DN1309" s="4"/>
      <c r="DO1309" s="4"/>
      <c r="DP1309" s="4"/>
      <c r="DQ1309" s="4"/>
      <c r="DR1309" s="4"/>
      <c r="DS1309" s="4"/>
      <c r="DT1309" s="4"/>
      <c r="DU1309" s="4"/>
      <c r="DV1309" s="4"/>
      <c r="DW1309" s="4"/>
      <c r="DX1309" s="4"/>
      <c r="DY1309" s="4"/>
      <c r="DZ1309" s="4"/>
      <c r="EA1309" s="4"/>
      <c r="EB1309" s="4"/>
      <c r="EC1309" s="4"/>
      <c r="ED1309" s="4"/>
      <c r="EE1309" s="4"/>
      <c r="EF1309" s="4"/>
      <c r="EG1309" s="4"/>
      <c r="EH1309" s="8"/>
      <c r="EI1309" s="8"/>
      <c r="EJ1309" s="8"/>
      <c r="EK1309" s="8"/>
      <c r="EL1309" s="8"/>
      <c r="EM1309" s="8"/>
      <c r="EN1309" s="4"/>
      <c r="EO1309" s="4"/>
      <c r="EP1309" s="4"/>
    </row>
    <row r="1310" spans="1:150" hidden="1">
      <c r="A1310" s="11" t="s">
        <v>9940</v>
      </c>
      <c r="B1310" s="3" t="s">
        <v>8373</v>
      </c>
      <c r="C1310" s="3">
        <v>2011</v>
      </c>
      <c r="D1310" s="3" t="s">
        <v>2299</v>
      </c>
      <c r="E1310" s="3" t="s">
        <v>8698</v>
      </c>
      <c r="F1310" s="3">
        <v>1</v>
      </c>
      <c r="G1310" s="3"/>
      <c r="H1310" s="3" t="s">
        <v>2303</v>
      </c>
      <c r="I1310" s="3"/>
      <c r="J1310" s="3"/>
      <c r="K1310" s="3" t="s">
        <v>221</v>
      </c>
      <c r="L1310" s="4"/>
      <c r="M1310" s="3" t="s">
        <v>8414</v>
      </c>
      <c r="T1310" s="3" t="s">
        <v>2301</v>
      </c>
      <c r="V1310" s="3"/>
      <c r="W1310" s="3"/>
      <c r="X1310" s="5" t="s">
        <v>2304</v>
      </c>
      <c r="Y1310" s="5"/>
      <c r="Z1310" s="3">
        <v>1</v>
      </c>
      <c r="AA1310" s="4"/>
      <c r="AB1310" s="4"/>
      <c r="AE1310" s="3"/>
      <c r="AF1310" s="3"/>
      <c r="AG1310" s="4"/>
      <c r="AH1310" s="4"/>
      <c r="AI1310" s="4"/>
      <c r="AJ1310" s="4"/>
      <c r="AK1310" s="3"/>
      <c r="AL1310" s="3"/>
      <c r="AM1310" s="3"/>
      <c r="AN1310" s="3"/>
      <c r="AO1310" s="4"/>
      <c r="AP1310" s="3"/>
      <c r="AQ1310" s="4"/>
      <c r="AR1310" s="3"/>
      <c r="AS1310" s="3"/>
      <c r="AT1310" s="4"/>
      <c r="AU1310" s="3"/>
      <c r="AV1310" s="4"/>
      <c r="AW1310" s="4"/>
      <c r="AX1310" s="4"/>
      <c r="AY1310" s="4"/>
      <c r="AZ1310" s="4"/>
      <c r="BA1310" s="4"/>
      <c r="BB1310" s="4"/>
      <c r="BC1310" s="4"/>
      <c r="BD1310" s="4"/>
      <c r="BE1310" s="4"/>
      <c r="BF1310" s="3"/>
      <c r="BG1310" s="3"/>
      <c r="BH1310" s="3"/>
      <c r="BI1310" s="4"/>
      <c r="BJ1310" s="3"/>
      <c r="BK1310" s="4"/>
      <c r="BL1310" s="4"/>
      <c r="BM1310" s="3"/>
      <c r="BN1310" s="4"/>
      <c r="BO1310" s="4"/>
      <c r="BP1310" s="4"/>
      <c r="BQ1310" s="4"/>
      <c r="BR1310" s="4"/>
      <c r="BS1310" s="4"/>
      <c r="BT1310" s="4"/>
      <c r="BU1310" s="4"/>
      <c r="BV1310" s="4"/>
      <c r="BW1310" s="4"/>
      <c r="BX1310" s="4"/>
      <c r="BY1310" s="4"/>
      <c r="BZ1310" s="4"/>
      <c r="CA1310" s="4"/>
      <c r="CB1310" s="4"/>
      <c r="CC1310" s="4"/>
      <c r="CD1310" s="4"/>
      <c r="CE1310" s="4"/>
      <c r="CF1310" s="4"/>
      <c r="CG1310" s="4"/>
      <c r="CH1310" s="4"/>
      <c r="CI1310" s="4"/>
      <c r="CJ1310" s="4"/>
      <c r="CK1310" s="4"/>
      <c r="CL1310" s="4"/>
      <c r="CM1310" s="4"/>
      <c r="CN1310" s="4"/>
      <c r="CO1310" s="4"/>
      <c r="CP1310" s="4"/>
      <c r="CQ1310" s="4"/>
      <c r="CR1310" s="4"/>
      <c r="CS1310" s="4"/>
      <c r="CT1310" s="4"/>
      <c r="CU1310" s="4"/>
      <c r="CV1310" s="4"/>
      <c r="CW1310" s="4"/>
      <c r="CX1310" s="4"/>
      <c r="CY1310" s="4"/>
      <c r="CZ1310" s="4"/>
      <c r="DA1310" s="4"/>
      <c r="DB1310" s="4"/>
      <c r="DC1310" s="4"/>
      <c r="DD1310" s="4"/>
      <c r="DE1310" s="4"/>
      <c r="DF1310" s="4"/>
      <c r="DG1310" s="3"/>
      <c r="DH1310" s="3"/>
      <c r="DI1310" s="8"/>
      <c r="DJ1310" s="4"/>
      <c r="DK1310" s="4"/>
      <c r="DL1310" s="4"/>
      <c r="DM1310" s="4"/>
      <c r="DN1310" s="8"/>
      <c r="DO1310" s="8"/>
      <c r="DP1310" s="8"/>
      <c r="DQ1310" s="8"/>
      <c r="DR1310" s="4"/>
      <c r="DS1310" s="4"/>
      <c r="DT1310" s="4"/>
      <c r="DU1310" s="4"/>
      <c r="DV1310" s="4"/>
      <c r="DW1310" s="4"/>
      <c r="DX1310" s="4"/>
      <c r="DY1310" s="4"/>
      <c r="DZ1310" s="4"/>
      <c r="EA1310" s="4"/>
      <c r="EB1310" s="4"/>
      <c r="EC1310" s="4"/>
      <c r="ED1310" s="4"/>
      <c r="EE1310" s="4"/>
      <c r="EF1310" s="4"/>
      <c r="EG1310" s="4"/>
      <c r="EH1310" s="4"/>
      <c r="EI1310" s="4"/>
      <c r="EJ1310" s="4"/>
      <c r="EK1310" s="4"/>
      <c r="EL1310" s="8"/>
      <c r="EM1310" s="8"/>
      <c r="EN1310" s="8"/>
      <c r="EO1310" s="8"/>
      <c r="EP1310" s="8"/>
      <c r="EQ1310" s="8"/>
      <c r="ER1310" s="4"/>
      <c r="ES1310" s="4"/>
      <c r="ET1310" s="4"/>
    </row>
    <row r="1311" spans="1:150" hidden="1">
      <c r="A1311" s="11" t="s">
        <v>9940</v>
      </c>
      <c r="B1311" s="3" t="s">
        <v>8373</v>
      </c>
      <c r="C1311" s="3">
        <v>2011</v>
      </c>
      <c r="D1311" s="3" t="s">
        <v>6674</v>
      </c>
      <c r="E1311" s="3" t="s">
        <v>9424</v>
      </c>
      <c r="F1311" s="3">
        <v>1</v>
      </c>
      <c r="G1311" s="3"/>
      <c r="H1311" s="3" t="s">
        <v>9425</v>
      </c>
      <c r="I1311" s="3"/>
      <c r="J1311" s="3"/>
      <c r="K1311" s="3" t="s">
        <v>1504</v>
      </c>
      <c r="L1311" s="4"/>
      <c r="M1311" s="3" t="s">
        <v>8783</v>
      </c>
      <c r="T1311" s="3" t="s">
        <v>6676</v>
      </c>
      <c r="V1311" s="3"/>
      <c r="W1311" s="3"/>
      <c r="X1311" s="5" t="s">
        <v>6679</v>
      </c>
      <c r="Y1311" s="5"/>
      <c r="Z1311" s="3">
        <v>0</v>
      </c>
      <c r="AA1311" s="3" t="s">
        <v>9178</v>
      </c>
      <c r="AB1311" s="3"/>
      <c r="AE1311" s="3"/>
      <c r="AF1311" s="3"/>
      <c r="AG1311" s="4"/>
      <c r="AH1311" s="4"/>
      <c r="AI1311" s="4"/>
      <c r="AJ1311" s="4"/>
      <c r="AK1311" s="3"/>
      <c r="AL1311" s="3"/>
      <c r="AM1311" s="3"/>
      <c r="AN1311" s="3"/>
      <c r="AO1311" s="4"/>
      <c r="AP1311" s="3"/>
      <c r="AQ1311" s="4"/>
      <c r="AR1311" s="3"/>
      <c r="AS1311" s="3"/>
      <c r="AT1311" s="4"/>
      <c r="AU1311" s="3"/>
      <c r="AV1311" s="4"/>
      <c r="AW1311" s="4"/>
      <c r="AX1311" s="4"/>
      <c r="AY1311" s="4"/>
      <c r="AZ1311" s="4"/>
      <c r="BA1311" s="4"/>
      <c r="BB1311" s="4"/>
      <c r="BC1311" s="4"/>
      <c r="BD1311" s="4"/>
      <c r="BE1311" s="4"/>
      <c r="BF1311" s="3"/>
      <c r="BG1311" s="3"/>
      <c r="BH1311" s="3"/>
      <c r="BI1311" s="4"/>
      <c r="BJ1311" s="3"/>
      <c r="BK1311" s="4"/>
      <c r="BL1311" s="4"/>
      <c r="BM1311" s="3"/>
      <c r="BN1311" s="4"/>
      <c r="BO1311" s="4"/>
      <c r="BP1311" s="4"/>
      <c r="BQ1311" s="4"/>
      <c r="BR1311" s="4"/>
      <c r="BS1311" s="4"/>
      <c r="BT1311" s="4"/>
      <c r="BU1311" s="4"/>
      <c r="BV1311" s="4"/>
      <c r="BW1311" s="4"/>
      <c r="BX1311" s="4"/>
      <c r="BY1311" s="4"/>
      <c r="BZ1311" s="4"/>
      <c r="CA1311" s="4"/>
      <c r="CB1311" s="4"/>
      <c r="CC1311" s="4"/>
      <c r="CD1311" s="4"/>
      <c r="CE1311" s="4"/>
      <c r="CF1311" s="4"/>
      <c r="CG1311" s="4"/>
      <c r="CH1311" s="4"/>
      <c r="CI1311" s="4"/>
      <c r="CJ1311" s="4"/>
      <c r="CK1311" s="4"/>
      <c r="CL1311" s="4"/>
      <c r="CM1311" s="4"/>
      <c r="CN1311" s="4"/>
      <c r="CO1311" s="4"/>
      <c r="CP1311" s="4"/>
      <c r="CQ1311" s="4"/>
      <c r="CR1311" s="4"/>
      <c r="CS1311" s="4"/>
      <c r="CT1311" s="4"/>
      <c r="CU1311" s="4"/>
      <c r="CV1311" s="4"/>
      <c r="CW1311" s="4"/>
      <c r="CX1311" s="4"/>
      <c r="CY1311" s="4"/>
      <c r="CZ1311" s="4"/>
      <c r="DA1311" s="4"/>
      <c r="DB1311" s="4"/>
      <c r="DC1311" s="3"/>
      <c r="DD1311" s="3"/>
      <c r="DE1311" s="8"/>
      <c r="DF1311" s="4"/>
      <c r="DG1311" s="4"/>
      <c r="DH1311" s="4"/>
      <c r="DI1311" s="4"/>
      <c r="DJ1311" s="8"/>
      <c r="DK1311" s="8"/>
      <c r="DL1311" s="8"/>
      <c r="DM1311" s="8"/>
      <c r="DN1311" s="4"/>
      <c r="DO1311" s="4"/>
      <c r="DP1311" s="4"/>
      <c r="DQ1311" s="4"/>
      <c r="DR1311" s="4"/>
      <c r="DS1311" s="4"/>
      <c r="DT1311" s="4"/>
      <c r="DU1311" s="4"/>
      <c r="DV1311" s="4"/>
      <c r="DW1311" s="4"/>
      <c r="DX1311" s="4"/>
      <c r="DY1311" s="4"/>
      <c r="DZ1311" s="4"/>
      <c r="EA1311" s="4"/>
      <c r="EB1311" s="4"/>
      <c r="EC1311" s="4"/>
      <c r="ED1311" s="4"/>
      <c r="EE1311" s="4"/>
      <c r="EF1311" s="4"/>
      <c r="EG1311" s="4"/>
      <c r="EH1311" s="8"/>
      <c r="EI1311" s="8"/>
      <c r="EJ1311" s="8"/>
      <c r="EK1311" s="8"/>
      <c r="EL1311" s="8"/>
      <c r="EM1311" s="8"/>
      <c r="EN1311" s="4"/>
      <c r="EO1311" s="4"/>
      <c r="EP1311" s="4"/>
    </row>
    <row r="1312" spans="1:150" hidden="1">
      <c r="A1312" s="11" t="s">
        <v>9940</v>
      </c>
      <c r="B1312" s="3" t="s">
        <v>8373</v>
      </c>
      <c r="C1312" s="3">
        <v>2011</v>
      </c>
      <c r="D1312" s="3" t="s">
        <v>4524</v>
      </c>
      <c r="E1312" s="3" t="s">
        <v>8699</v>
      </c>
      <c r="F1312" s="3">
        <v>1</v>
      </c>
      <c r="G1312" s="3"/>
      <c r="H1312" s="3" t="s">
        <v>4528</v>
      </c>
      <c r="I1312" s="3"/>
      <c r="J1312" s="3"/>
      <c r="K1312" s="3" t="s">
        <v>40</v>
      </c>
      <c r="L1312" s="4"/>
      <c r="M1312" s="3" t="s">
        <v>8500</v>
      </c>
      <c r="T1312" s="3" t="s">
        <v>4526</v>
      </c>
      <c r="V1312" s="3"/>
      <c r="W1312" s="4"/>
      <c r="X1312" s="5" t="s">
        <v>4529</v>
      </c>
      <c r="Y1312" s="5"/>
      <c r="Z1312" s="3">
        <v>1</v>
      </c>
      <c r="AA1312" s="4"/>
      <c r="AB1312" s="4"/>
      <c r="AE1312" s="3"/>
      <c r="AF1312" s="3"/>
      <c r="AG1312" s="4"/>
      <c r="AH1312" s="4"/>
      <c r="AI1312" s="4"/>
      <c r="AJ1312" s="4"/>
      <c r="AK1312" s="3"/>
      <c r="AL1312" s="3"/>
      <c r="AM1312" s="3"/>
      <c r="AN1312" s="3"/>
      <c r="AO1312" s="4"/>
      <c r="AP1312" s="3"/>
      <c r="AQ1312" s="3"/>
      <c r="AR1312" s="3"/>
      <c r="AS1312" s="4"/>
      <c r="AT1312" s="3"/>
      <c r="AU1312" s="4"/>
      <c r="AV1312" s="4"/>
      <c r="AW1312" s="4"/>
      <c r="AX1312" s="4"/>
      <c r="AY1312" s="4"/>
      <c r="AZ1312" s="4"/>
      <c r="BA1312" s="4"/>
      <c r="BB1312" s="4"/>
      <c r="BC1312" s="4"/>
      <c r="BD1312" s="4"/>
      <c r="BE1312" s="3"/>
      <c r="BF1312" s="3"/>
      <c r="BG1312" s="3"/>
      <c r="BH1312" s="4"/>
      <c r="BI1312" s="3"/>
      <c r="BJ1312" s="4"/>
      <c r="BK1312" s="4"/>
      <c r="BL1312" s="4"/>
      <c r="BM1312" s="3"/>
      <c r="BN1312" s="4"/>
      <c r="BO1312" s="4"/>
      <c r="BP1312" s="4"/>
      <c r="BQ1312" s="4"/>
      <c r="BR1312" s="4"/>
      <c r="BS1312" s="4"/>
      <c r="BT1312" s="4"/>
      <c r="BU1312" s="4"/>
      <c r="BV1312" s="4"/>
      <c r="BW1312" s="4"/>
      <c r="BX1312" s="4"/>
      <c r="BY1312" s="4"/>
      <c r="BZ1312" s="4"/>
      <c r="CA1312" s="4"/>
      <c r="CB1312" s="4"/>
      <c r="CC1312" s="4"/>
      <c r="CD1312" s="4"/>
      <c r="CE1312" s="4"/>
      <c r="CF1312" s="4"/>
      <c r="CG1312" s="4"/>
      <c r="CH1312" s="4"/>
      <c r="CI1312" s="4"/>
      <c r="CJ1312" s="4"/>
      <c r="CK1312" s="4"/>
      <c r="CL1312" s="4"/>
      <c r="CM1312" s="4"/>
      <c r="CN1312" s="4"/>
      <c r="CO1312" s="4"/>
      <c r="CP1312" s="4"/>
      <c r="CQ1312" s="4"/>
      <c r="CR1312" s="4"/>
      <c r="CS1312" s="4"/>
      <c r="CT1312" s="3"/>
      <c r="CU1312" s="3"/>
      <c r="CV1312" s="8"/>
      <c r="CW1312" s="4"/>
      <c r="CX1312" s="4"/>
      <c r="CY1312" s="4"/>
      <c r="CZ1312" s="4"/>
      <c r="DA1312" s="8"/>
      <c r="DB1312" s="8"/>
      <c r="DC1312" s="8"/>
      <c r="DD1312" s="8"/>
      <c r="DE1312" s="4"/>
      <c r="DF1312" s="4"/>
      <c r="DG1312" s="4"/>
      <c r="DH1312" s="4"/>
      <c r="DI1312" s="4"/>
      <c r="DJ1312" s="4"/>
      <c r="DK1312" s="4"/>
      <c r="DL1312" s="4"/>
      <c r="DM1312" s="4"/>
      <c r="DN1312" s="4"/>
      <c r="DO1312" s="4"/>
      <c r="DP1312" s="4"/>
      <c r="DQ1312" s="4"/>
      <c r="DR1312" s="4"/>
      <c r="DS1312" s="4"/>
      <c r="DT1312" s="4"/>
      <c r="DU1312" s="4"/>
      <c r="DV1312" s="4"/>
      <c r="DW1312" s="4"/>
      <c r="DX1312" s="4"/>
      <c r="DY1312" s="8"/>
      <c r="DZ1312" s="8"/>
      <c r="EA1312" s="8"/>
      <c r="EB1312" s="8"/>
      <c r="EC1312" s="8"/>
      <c r="ED1312" s="8"/>
      <c r="EE1312" s="4"/>
      <c r="EF1312" s="4"/>
      <c r="EG1312" s="4"/>
    </row>
    <row r="1313" spans="1:150" hidden="1">
      <c r="A1313" s="11" t="s">
        <v>9940</v>
      </c>
      <c r="B1313" s="3" t="s">
        <v>8373</v>
      </c>
      <c r="C1313" s="3">
        <v>2014</v>
      </c>
      <c r="D1313" s="3" t="s">
        <v>9426</v>
      </c>
      <c r="E1313" s="3" t="s">
        <v>9427</v>
      </c>
      <c r="F1313" s="3">
        <v>1</v>
      </c>
      <c r="G1313" s="3"/>
      <c r="H1313" s="3" t="s">
        <v>9428</v>
      </c>
      <c r="I1313" s="3"/>
      <c r="J1313" s="3"/>
      <c r="K1313" s="3" t="s">
        <v>132</v>
      </c>
      <c r="L1313" s="4"/>
      <c r="M1313" s="3" t="s">
        <v>8382</v>
      </c>
      <c r="T1313" s="3" t="s">
        <v>3239</v>
      </c>
      <c r="V1313" s="3"/>
      <c r="W1313" s="3"/>
      <c r="X1313" s="5" t="s">
        <v>3242</v>
      </c>
      <c r="Y1313" s="5"/>
      <c r="Z1313" s="3">
        <v>0</v>
      </c>
      <c r="AA1313" s="3" t="s">
        <v>9249</v>
      </c>
      <c r="AB1313" s="4"/>
      <c r="AE1313" s="3"/>
      <c r="AF1313" s="4"/>
      <c r="AG1313" s="4"/>
      <c r="AH1313" s="4"/>
      <c r="AI1313" s="4"/>
      <c r="AJ1313" s="4"/>
      <c r="AK1313" s="3"/>
      <c r="AL1313" s="3"/>
      <c r="AM1313" s="3"/>
      <c r="AN1313" s="3"/>
      <c r="AO1313" s="4"/>
      <c r="AP1313" s="3"/>
      <c r="AQ1313" s="4"/>
      <c r="AR1313" s="4"/>
      <c r="AS1313" s="3"/>
      <c r="AT1313" s="4"/>
      <c r="AU1313" s="3"/>
      <c r="AV1313" s="4"/>
      <c r="AW1313" s="4"/>
      <c r="AX1313" s="4"/>
      <c r="AY1313" s="4"/>
      <c r="AZ1313" s="4"/>
      <c r="BA1313" s="4"/>
      <c r="BB1313" s="4"/>
      <c r="BC1313" s="4"/>
      <c r="BD1313" s="4"/>
      <c r="BE1313" s="4"/>
      <c r="BF1313" s="3"/>
      <c r="BG1313" s="3"/>
      <c r="BH1313" s="3"/>
      <c r="BI1313" s="4"/>
      <c r="BJ1313" s="3"/>
      <c r="BK1313" s="4"/>
      <c r="BL1313" s="4"/>
      <c r="BM1313" s="3"/>
      <c r="BN1313" s="4"/>
      <c r="BO1313" s="4"/>
      <c r="BP1313" s="4"/>
      <c r="BQ1313" s="4"/>
      <c r="BR1313" s="4"/>
      <c r="BS1313" s="4"/>
      <c r="BT1313" s="4"/>
      <c r="BU1313" s="4"/>
      <c r="BV1313" s="4"/>
      <c r="BW1313" s="4"/>
      <c r="BX1313" s="4"/>
      <c r="BY1313" s="4"/>
      <c r="BZ1313" s="4"/>
      <c r="CA1313" s="4"/>
      <c r="CB1313" s="4"/>
      <c r="CC1313" s="4"/>
      <c r="CD1313" s="4"/>
      <c r="CE1313" s="4"/>
      <c r="CF1313" s="4"/>
      <c r="CG1313" s="4"/>
      <c r="CH1313" s="4"/>
      <c r="CI1313" s="4"/>
      <c r="CJ1313" s="4"/>
      <c r="CK1313" s="4"/>
      <c r="CL1313" s="4"/>
      <c r="CM1313" s="4"/>
      <c r="CN1313" s="4"/>
      <c r="CO1313" s="4"/>
      <c r="CP1313" s="4"/>
      <c r="CQ1313" s="4"/>
      <c r="CR1313" s="4"/>
      <c r="CS1313" s="4"/>
      <c r="CT1313" s="4"/>
      <c r="CU1313" s="4"/>
      <c r="CV1313" s="4"/>
      <c r="CW1313" s="4"/>
      <c r="CX1313" s="4"/>
      <c r="CY1313" s="4"/>
      <c r="CZ1313" s="4"/>
      <c r="DA1313" s="4"/>
      <c r="DB1313" s="4"/>
      <c r="DC1313" s="4"/>
      <c r="DD1313" s="3"/>
      <c r="DE1313" s="3"/>
      <c r="DF1313" s="4"/>
      <c r="DG1313" s="4"/>
      <c r="DH1313" s="4"/>
      <c r="DI1313" s="4"/>
      <c r="DJ1313" s="4"/>
      <c r="DK1313" s="4"/>
      <c r="DL1313" s="4"/>
      <c r="DM1313" s="4"/>
      <c r="DN1313" s="4"/>
      <c r="DO1313" s="4"/>
      <c r="DP1313" s="4"/>
      <c r="DQ1313" s="4"/>
      <c r="DR1313" s="4"/>
      <c r="DS1313" s="4"/>
      <c r="DT1313" s="4"/>
      <c r="DU1313" s="4"/>
      <c r="DV1313" s="4"/>
      <c r="DW1313" s="4"/>
      <c r="DX1313" s="4"/>
      <c r="DY1313" s="4"/>
      <c r="DZ1313" s="4"/>
      <c r="EA1313" s="4"/>
      <c r="EB1313" s="4"/>
      <c r="EC1313" s="4"/>
      <c r="ED1313" s="4"/>
      <c r="EE1313" s="4"/>
      <c r="EF1313" s="4"/>
      <c r="EG1313" s="4"/>
      <c r="EH1313" s="4"/>
      <c r="EI1313" s="4"/>
      <c r="EJ1313" s="4"/>
      <c r="EK1313" s="4"/>
      <c r="EL1313" s="4"/>
      <c r="EM1313" s="4"/>
      <c r="EN1313" s="4"/>
      <c r="EO1313" s="4"/>
      <c r="EP1313" s="4"/>
      <c r="EQ1313" s="4"/>
    </row>
    <row r="1314" spans="1:150" hidden="1">
      <c r="A1314" s="11" t="s">
        <v>9940</v>
      </c>
      <c r="B1314" s="3" t="s">
        <v>8373</v>
      </c>
      <c r="C1314" s="3">
        <v>2012</v>
      </c>
      <c r="D1314" s="3" t="s">
        <v>5717</v>
      </c>
      <c r="E1314" s="3" t="s">
        <v>8700</v>
      </c>
      <c r="F1314" s="3">
        <v>1</v>
      </c>
      <c r="G1314" s="3"/>
      <c r="H1314" s="3" t="s">
        <v>5721</v>
      </c>
      <c r="I1314" s="3"/>
      <c r="J1314" s="3"/>
      <c r="K1314" s="3" t="s">
        <v>3053</v>
      </c>
      <c r="L1314" s="4"/>
      <c r="M1314" s="3" t="s">
        <v>8701</v>
      </c>
      <c r="T1314" s="3" t="s">
        <v>5719</v>
      </c>
      <c r="V1314" s="3"/>
      <c r="W1314" s="3"/>
      <c r="X1314" s="5" t="s">
        <v>5722</v>
      </c>
      <c r="Y1314" s="5"/>
      <c r="Z1314" s="3">
        <v>1</v>
      </c>
      <c r="AA1314" s="4"/>
      <c r="AB1314" s="3"/>
      <c r="AE1314" s="3"/>
      <c r="AF1314" s="3"/>
      <c r="AG1314" s="4"/>
      <c r="AH1314" s="4"/>
      <c r="AI1314" s="4"/>
      <c r="AJ1314" s="4"/>
      <c r="AK1314" s="3"/>
      <c r="AL1314" s="3"/>
      <c r="AM1314" s="3"/>
      <c r="AN1314" s="3"/>
      <c r="AO1314" s="4"/>
      <c r="AP1314" s="3"/>
      <c r="AQ1314" s="4"/>
      <c r="AR1314" s="3"/>
      <c r="AS1314" s="3"/>
      <c r="AT1314" s="4"/>
      <c r="AU1314" s="3"/>
      <c r="AV1314" s="4"/>
      <c r="AW1314" s="4"/>
      <c r="AX1314" s="4"/>
      <c r="AY1314" s="4"/>
      <c r="AZ1314" s="4"/>
      <c r="BA1314" s="4"/>
      <c r="BB1314" s="4"/>
      <c r="BC1314" s="4"/>
      <c r="BD1314" s="4"/>
      <c r="BE1314" s="4"/>
      <c r="BF1314" s="3"/>
      <c r="BG1314" s="3"/>
      <c r="BH1314" s="3"/>
      <c r="BI1314" s="4"/>
      <c r="BJ1314" s="3"/>
      <c r="BK1314" s="4"/>
      <c r="BL1314" s="3"/>
      <c r="BM1314" s="4"/>
      <c r="BN1314" s="4"/>
      <c r="BO1314" s="4"/>
      <c r="BP1314" s="4"/>
      <c r="BQ1314" s="4"/>
      <c r="BR1314" s="4"/>
      <c r="BS1314" s="4"/>
      <c r="BT1314" s="4"/>
      <c r="BU1314" s="4"/>
      <c r="BV1314" s="4"/>
      <c r="BW1314" s="4"/>
      <c r="BX1314" s="4"/>
      <c r="BY1314" s="4"/>
      <c r="BZ1314" s="4"/>
      <c r="CA1314" s="4"/>
      <c r="CB1314" s="4"/>
      <c r="CC1314" s="4"/>
      <c r="CD1314" s="3"/>
      <c r="CE1314" s="3"/>
      <c r="CF1314" s="8"/>
      <c r="CG1314" s="4"/>
      <c r="CH1314" s="4"/>
      <c r="CI1314" s="4"/>
      <c r="CJ1314" s="4"/>
      <c r="CK1314" s="8"/>
      <c r="CL1314" s="8"/>
      <c r="CM1314" s="8"/>
      <c r="CN1314" s="8"/>
      <c r="CO1314" s="4"/>
      <c r="CP1314" s="4"/>
      <c r="CQ1314" s="4"/>
      <c r="CR1314" s="4"/>
      <c r="CS1314" s="4"/>
      <c r="CT1314" s="4"/>
      <c r="CU1314" s="4"/>
      <c r="CV1314" s="4"/>
      <c r="CW1314" s="4"/>
      <c r="CX1314" s="4"/>
      <c r="CY1314" s="4"/>
      <c r="CZ1314" s="4"/>
      <c r="DA1314" s="4"/>
      <c r="DB1314" s="4"/>
      <c r="DC1314" s="4"/>
      <c r="DD1314" s="4"/>
      <c r="DE1314" s="4"/>
      <c r="DF1314" s="4"/>
      <c r="DG1314" s="4"/>
      <c r="DH1314" s="4"/>
      <c r="DI1314" s="8"/>
      <c r="DJ1314" s="8"/>
      <c r="DK1314" s="8"/>
      <c r="DL1314" s="8"/>
      <c r="DM1314" s="8"/>
      <c r="DN1314" s="8"/>
      <c r="DO1314" s="4"/>
      <c r="DP1314" s="4"/>
      <c r="DQ1314" s="4"/>
    </row>
    <row r="1315" spans="1:150" hidden="1">
      <c r="A1315" s="11" t="s">
        <v>9940</v>
      </c>
      <c r="B1315" s="3" t="s">
        <v>8373</v>
      </c>
      <c r="C1315" s="3">
        <v>2010</v>
      </c>
      <c r="D1315" s="3" t="s">
        <v>8702</v>
      </c>
      <c r="E1315" s="3" t="s">
        <v>8703</v>
      </c>
      <c r="F1315" s="3">
        <v>1</v>
      </c>
      <c r="G1315" s="3"/>
      <c r="H1315" s="3" t="s">
        <v>8708</v>
      </c>
      <c r="I1315" s="3"/>
      <c r="J1315" s="3"/>
      <c r="K1315" s="3" t="s">
        <v>8704</v>
      </c>
      <c r="L1315" s="4"/>
      <c r="M1315" s="3" t="s">
        <v>8705</v>
      </c>
      <c r="T1315" s="3" t="s">
        <v>8706</v>
      </c>
      <c r="V1315" s="3"/>
      <c r="W1315" s="4"/>
      <c r="X1315" s="5" t="s">
        <v>8707</v>
      </c>
      <c r="Y1315" s="5"/>
      <c r="Z1315" s="3">
        <v>1</v>
      </c>
      <c r="AA1315" s="4"/>
      <c r="AB1315" s="4"/>
      <c r="AE1315" s="3"/>
      <c r="AF1315" s="3"/>
      <c r="AG1315" s="4"/>
      <c r="AH1315" s="4"/>
      <c r="AI1315" s="4"/>
      <c r="AJ1315" s="4"/>
      <c r="AK1315" s="3"/>
      <c r="AL1315" s="3"/>
      <c r="AM1315" s="3"/>
      <c r="AN1315" s="3"/>
      <c r="AO1315" s="4"/>
      <c r="AP1315" s="3"/>
      <c r="AQ1315" s="4"/>
      <c r="AR1315" s="3"/>
      <c r="AS1315" s="3"/>
      <c r="AT1315" s="4"/>
      <c r="AU1315" s="3"/>
      <c r="AV1315" s="4"/>
      <c r="AW1315" s="4"/>
      <c r="AX1315" s="4"/>
      <c r="AY1315" s="4"/>
      <c r="AZ1315" s="4"/>
      <c r="BA1315" s="4"/>
      <c r="BB1315" s="4"/>
      <c r="BC1315" s="4"/>
      <c r="BD1315" s="4"/>
      <c r="BE1315" s="4"/>
      <c r="BF1315" s="3"/>
      <c r="BG1315" s="3"/>
      <c r="BH1315" s="3"/>
      <c r="BI1315" s="4"/>
      <c r="BJ1315" s="3"/>
      <c r="BK1315" s="4"/>
      <c r="BL1315" s="4"/>
      <c r="BM1315" s="3"/>
      <c r="BN1315" s="4"/>
      <c r="BO1315" s="4"/>
      <c r="BP1315" s="4"/>
      <c r="BQ1315" s="4"/>
      <c r="BR1315" s="4"/>
      <c r="BS1315" s="4"/>
      <c r="BT1315" s="4"/>
      <c r="BU1315" s="4"/>
      <c r="BV1315" s="4"/>
      <c r="BW1315" s="4"/>
      <c r="BX1315" s="4"/>
      <c r="BY1315" s="4"/>
      <c r="BZ1315" s="4"/>
      <c r="CA1315" s="4"/>
      <c r="CB1315" s="4"/>
      <c r="CC1315" s="4"/>
      <c r="CD1315" s="4"/>
      <c r="CE1315" s="4"/>
      <c r="CF1315" s="4"/>
      <c r="CG1315" s="4"/>
      <c r="CH1315" s="4"/>
      <c r="CI1315" s="4"/>
      <c r="CJ1315" s="4"/>
      <c r="CK1315" s="4"/>
      <c r="CL1315" s="4"/>
      <c r="CM1315" s="4"/>
      <c r="CN1315" s="4"/>
      <c r="CO1315" s="4"/>
      <c r="CP1315" s="4"/>
      <c r="CQ1315" s="4"/>
      <c r="CR1315" s="4"/>
      <c r="CS1315" s="4"/>
      <c r="CT1315" s="4"/>
      <c r="CU1315" s="4"/>
      <c r="CV1315" s="4"/>
      <c r="CW1315" s="4"/>
      <c r="CX1315" s="3"/>
      <c r="CY1315" s="3"/>
      <c r="CZ1315" s="8"/>
      <c r="DA1315" s="4"/>
      <c r="DB1315" s="4"/>
      <c r="DC1315" s="4"/>
      <c r="DD1315" s="4"/>
      <c r="DE1315" s="8"/>
      <c r="DF1315" s="8"/>
      <c r="DG1315" s="8"/>
      <c r="DH1315" s="8"/>
      <c r="DI1315" s="4"/>
      <c r="DJ1315" s="4"/>
      <c r="DK1315" s="4"/>
      <c r="DL1315" s="4"/>
      <c r="DM1315" s="4"/>
      <c r="DN1315" s="4"/>
      <c r="DO1315" s="4"/>
      <c r="DP1315" s="4"/>
      <c r="DQ1315" s="4"/>
      <c r="DR1315" s="4"/>
      <c r="DS1315" s="4"/>
      <c r="DT1315" s="4"/>
      <c r="DU1315" s="4"/>
      <c r="DV1315" s="4"/>
      <c r="DW1315" s="4"/>
      <c r="DX1315" s="4"/>
      <c r="DY1315" s="4"/>
      <c r="DZ1315" s="4"/>
      <c r="EA1315" s="4"/>
      <c r="EB1315" s="4"/>
      <c r="EC1315" s="8"/>
      <c r="ED1315" s="8"/>
      <c r="EE1315" s="8"/>
      <c r="EF1315" s="8"/>
      <c r="EG1315" s="8"/>
      <c r="EH1315" s="8"/>
      <c r="EI1315" s="4"/>
      <c r="EJ1315" s="4"/>
      <c r="EK1315" s="4"/>
    </row>
    <row r="1316" spans="1:150" hidden="1">
      <c r="A1316" s="11" t="s">
        <v>9940</v>
      </c>
      <c r="B1316" s="3" t="s">
        <v>8373</v>
      </c>
      <c r="C1316" s="3">
        <v>2010</v>
      </c>
      <c r="D1316" s="3" t="s">
        <v>7843</v>
      </c>
      <c r="E1316" s="3" t="s">
        <v>9429</v>
      </c>
      <c r="F1316" s="3">
        <v>0</v>
      </c>
      <c r="G1316" s="3" t="s">
        <v>9237</v>
      </c>
      <c r="H1316" s="3" t="s">
        <v>7847</v>
      </c>
      <c r="I1316" s="3"/>
      <c r="J1316" s="3"/>
      <c r="K1316" s="3" t="s">
        <v>2826</v>
      </c>
      <c r="L1316" s="4"/>
      <c r="M1316" s="3" t="s">
        <v>8534</v>
      </c>
      <c r="T1316" s="3" t="s">
        <v>7845</v>
      </c>
      <c r="V1316" s="4"/>
      <c r="W1316" s="4"/>
      <c r="X1316" s="5" t="s">
        <v>7848</v>
      </c>
      <c r="Y1316" s="5"/>
      <c r="Z1316" s="4"/>
      <c r="AA1316" s="4"/>
      <c r="AB1316" s="4"/>
      <c r="AE1316" s="4"/>
      <c r="AF1316" s="4"/>
      <c r="AG1316" s="3"/>
      <c r="AH1316" s="7"/>
      <c r="AI1316" s="3"/>
      <c r="AJ1316" s="3"/>
      <c r="AK1316" s="4"/>
      <c r="AL1316" s="3"/>
      <c r="AM1316" s="4"/>
      <c r="AN1316" s="3"/>
      <c r="AO1316" s="3"/>
      <c r="AP1316" s="4"/>
      <c r="AQ1316" s="3"/>
      <c r="AR1316" s="4"/>
      <c r="AS1316" s="3"/>
      <c r="AT1316" s="4"/>
      <c r="AU1316" s="4"/>
      <c r="AV1316" s="4"/>
      <c r="AW1316" s="4"/>
      <c r="AX1316" s="4"/>
      <c r="AY1316" s="4"/>
      <c r="AZ1316" s="3"/>
      <c r="BA1316" s="3"/>
      <c r="BB1316" s="3"/>
      <c r="BC1316" s="4"/>
      <c r="BD1316" s="3"/>
      <c r="BE1316" s="4"/>
      <c r="BF1316" s="4"/>
      <c r="BG1316" s="3"/>
      <c r="BH1316" s="4"/>
      <c r="BI1316" s="4"/>
      <c r="BJ1316" s="4"/>
      <c r="BK1316" s="4"/>
      <c r="BL1316" s="4"/>
      <c r="BM1316" s="4"/>
      <c r="BN1316" s="4"/>
      <c r="BO1316" s="4"/>
      <c r="BP1316" s="4"/>
      <c r="BQ1316" s="4"/>
      <c r="BR1316" s="4"/>
      <c r="BS1316" s="4"/>
      <c r="BT1316" s="4"/>
      <c r="BU1316" s="4"/>
      <c r="BV1316" s="4"/>
      <c r="BW1316" s="4"/>
      <c r="BX1316" s="4"/>
      <c r="BY1316" s="4"/>
      <c r="BZ1316" s="4"/>
      <c r="CA1316" s="4"/>
      <c r="CB1316" s="4"/>
      <c r="CC1316" s="4"/>
      <c r="CD1316" s="4"/>
      <c r="CE1316" s="4"/>
      <c r="CF1316" s="4"/>
      <c r="CG1316" s="4"/>
      <c r="CH1316" s="4"/>
      <c r="CI1316" s="4"/>
      <c r="CJ1316" s="4"/>
      <c r="CK1316" s="4"/>
      <c r="CL1316" s="4"/>
      <c r="CM1316" s="4"/>
      <c r="CN1316" s="4"/>
      <c r="CO1316" s="4"/>
      <c r="CP1316" s="4"/>
      <c r="CQ1316" s="4"/>
      <c r="CR1316" s="4"/>
      <c r="CS1316" s="4"/>
      <c r="CT1316" s="4"/>
      <c r="CU1316" s="3"/>
      <c r="CV1316" s="3"/>
      <c r="CW1316" s="4"/>
      <c r="CX1316" s="4"/>
      <c r="CY1316" s="4"/>
      <c r="CZ1316" s="4"/>
      <c r="DA1316" s="4"/>
      <c r="DB1316" s="4"/>
      <c r="DC1316" s="4"/>
      <c r="DD1316" s="4"/>
      <c r="DE1316" s="4"/>
      <c r="DF1316" s="4"/>
      <c r="DG1316" s="4"/>
      <c r="DH1316" s="4"/>
      <c r="DI1316" s="4"/>
      <c r="DJ1316" s="4"/>
      <c r="DK1316" s="4"/>
      <c r="DL1316" s="4"/>
      <c r="DM1316" s="4"/>
      <c r="DN1316" s="4"/>
      <c r="DO1316" s="4"/>
      <c r="DP1316" s="4"/>
      <c r="DQ1316" s="4"/>
      <c r="DR1316" s="4"/>
      <c r="DS1316" s="4"/>
      <c r="DT1316" s="4"/>
      <c r="DU1316" s="4"/>
      <c r="DV1316" s="4"/>
      <c r="DW1316" s="4"/>
      <c r="DX1316" s="4"/>
      <c r="DY1316" s="4"/>
      <c r="DZ1316" s="4"/>
      <c r="EA1316" s="4"/>
      <c r="EB1316" s="4"/>
      <c r="EC1316" s="4"/>
      <c r="ED1316" s="4"/>
      <c r="EE1316" s="4"/>
      <c r="EF1316" s="4"/>
      <c r="EG1316" s="4"/>
      <c r="EH1316" s="4"/>
    </row>
    <row r="1317" spans="1:150" hidden="1">
      <c r="A1317" s="11" t="s">
        <v>9940</v>
      </c>
      <c r="B1317" s="3" t="s">
        <v>8379</v>
      </c>
      <c r="C1317" s="3">
        <v>2015</v>
      </c>
      <c r="D1317" s="3" t="s">
        <v>6527</v>
      </c>
      <c r="E1317" s="3" t="s">
        <v>9430</v>
      </c>
      <c r="F1317" s="3">
        <v>1</v>
      </c>
      <c r="G1317" s="4"/>
      <c r="H1317" s="3" t="s">
        <v>6530</v>
      </c>
      <c r="I1317" s="3"/>
      <c r="J1317" s="3"/>
      <c r="K1317" s="4"/>
      <c r="L1317" s="4"/>
      <c r="M1317" s="4"/>
      <c r="T1317" s="4"/>
      <c r="V1317" s="3"/>
      <c r="W1317" s="3"/>
      <c r="X1317" s="5" t="s">
        <v>6531</v>
      </c>
      <c r="Y1317" s="5"/>
      <c r="Z1317" s="3">
        <v>0</v>
      </c>
      <c r="AA1317" s="3" t="s">
        <v>9178</v>
      </c>
      <c r="AB1317" s="3"/>
      <c r="AE1317" s="3"/>
      <c r="AF1317" s="4"/>
      <c r="AG1317" s="4"/>
      <c r="AH1317" s="4"/>
      <c r="AI1317" s="4"/>
      <c r="AJ1317" s="4"/>
      <c r="AK1317" s="3"/>
      <c r="AL1317" s="3"/>
      <c r="AM1317" s="3"/>
      <c r="AN1317" s="3"/>
      <c r="AO1317" s="4"/>
      <c r="AP1317" s="4"/>
      <c r="AQ1317" s="4"/>
      <c r="AR1317" s="4"/>
      <c r="AS1317" s="4"/>
      <c r="AT1317" s="4"/>
      <c r="AU1317" s="4"/>
      <c r="AV1317" s="4"/>
      <c r="AW1317" s="4"/>
      <c r="AX1317" s="4"/>
      <c r="AY1317" s="4"/>
      <c r="AZ1317" s="4"/>
      <c r="BA1317" s="3"/>
      <c r="BB1317" s="4"/>
      <c r="BC1317" s="3"/>
      <c r="BD1317" s="3"/>
      <c r="BE1317" s="3"/>
      <c r="BF1317" s="4"/>
      <c r="BG1317" s="3"/>
      <c r="BH1317" s="3"/>
      <c r="BI1317" s="4"/>
      <c r="BJ1317" s="4"/>
      <c r="BK1317" s="4"/>
      <c r="BL1317" s="4"/>
      <c r="BM1317" s="4"/>
      <c r="BN1317" s="4"/>
      <c r="BO1317" s="4"/>
      <c r="BP1317" s="4"/>
      <c r="BQ1317" s="4"/>
      <c r="BR1317" s="4"/>
      <c r="BS1317" s="4"/>
      <c r="BT1317" s="4"/>
      <c r="BU1317" s="4"/>
      <c r="BV1317" s="4"/>
      <c r="BW1317" s="4"/>
      <c r="BX1317" s="4"/>
      <c r="BY1317" s="4"/>
      <c r="BZ1317" s="4"/>
      <c r="CA1317" s="4"/>
      <c r="CB1317" s="4"/>
      <c r="CC1317" s="4"/>
      <c r="CD1317" s="4"/>
      <c r="CE1317" s="4"/>
      <c r="CF1317" s="4"/>
      <c r="CG1317" s="4"/>
      <c r="CH1317" s="4"/>
      <c r="CI1317" s="4"/>
      <c r="CJ1317" s="4"/>
      <c r="CK1317" s="4"/>
      <c r="CL1317" s="4"/>
      <c r="CM1317" s="4"/>
      <c r="CN1317" s="4"/>
      <c r="CO1317" s="4"/>
      <c r="CP1317" s="4"/>
      <c r="CQ1317" s="4"/>
      <c r="CR1317" s="4"/>
      <c r="CS1317" s="4"/>
      <c r="CT1317" s="4"/>
      <c r="CU1317" s="4"/>
      <c r="CV1317" s="4"/>
      <c r="CW1317" s="3"/>
      <c r="CX1317" s="3"/>
      <c r="CY1317" s="4"/>
      <c r="CZ1317" s="4"/>
      <c r="DA1317" s="4"/>
      <c r="DB1317" s="4"/>
      <c r="DC1317" s="4"/>
      <c r="DD1317" s="4"/>
      <c r="DE1317" s="4"/>
      <c r="DF1317" s="4"/>
      <c r="DG1317" s="4"/>
      <c r="DH1317" s="4"/>
      <c r="DI1317" s="4"/>
      <c r="DJ1317" s="4"/>
      <c r="DK1317" s="4"/>
      <c r="DL1317" s="4"/>
      <c r="DM1317" s="4"/>
      <c r="DN1317" s="4"/>
      <c r="DO1317" s="4"/>
      <c r="DP1317" s="4"/>
      <c r="DQ1317" s="4"/>
      <c r="DR1317" s="4"/>
      <c r="DS1317" s="4"/>
      <c r="DT1317" s="4"/>
      <c r="DU1317" s="4"/>
      <c r="DV1317" s="4"/>
      <c r="DW1317" s="4"/>
      <c r="DX1317" s="4"/>
      <c r="DY1317" s="4"/>
      <c r="DZ1317" s="4"/>
      <c r="EA1317" s="4"/>
      <c r="EB1317" s="4"/>
      <c r="EC1317" s="4"/>
      <c r="ED1317" s="4"/>
      <c r="EE1317" s="4"/>
      <c r="EF1317" s="4"/>
      <c r="EG1317" s="4"/>
      <c r="EH1317" s="4"/>
      <c r="EI1317" s="4"/>
      <c r="EJ1317" s="4"/>
    </row>
    <row r="1318" spans="1:150" hidden="1">
      <c r="A1318" s="11" t="s">
        <v>9940</v>
      </c>
      <c r="B1318" s="3" t="s">
        <v>8373</v>
      </c>
      <c r="C1318" s="3">
        <v>2016</v>
      </c>
      <c r="D1318" s="3" t="s">
        <v>9431</v>
      </c>
      <c r="E1318" s="3" t="s">
        <v>9432</v>
      </c>
      <c r="F1318" s="3">
        <v>1</v>
      </c>
      <c r="G1318" s="3"/>
      <c r="H1318" s="3" t="s">
        <v>9433</v>
      </c>
      <c r="I1318" s="3"/>
      <c r="J1318" s="3"/>
      <c r="K1318" s="3" t="s">
        <v>810</v>
      </c>
      <c r="L1318" s="4"/>
      <c r="M1318" s="3" t="s">
        <v>8454</v>
      </c>
      <c r="T1318" s="3" t="s">
        <v>6841</v>
      </c>
      <c r="V1318" s="3"/>
      <c r="W1318" s="3"/>
      <c r="X1318" s="5" t="s">
        <v>6844</v>
      </c>
      <c r="Y1318" s="5"/>
      <c r="Z1318" s="3">
        <v>0</v>
      </c>
      <c r="AA1318" s="3" t="s">
        <v>9178</v>
      </c>
      <c r="AB1318" s="4"/>
      <c r="AE1318" s="3"/>
      <c r="AF1318" s="4"/>
      <c r="AG1318" s="4"/>
      <c r="AH1318" s="4"/>
      <c r="AI1318" s="4"/>
      <c r="AJ1318" s="4"/>
      <c r="AK1318" s="3"/>
      <c r="AL1318" s="3"/>
      <c r="AM1318" s="3"/>
      <c r="AN1318" s="3"/>
      <c r="AO1318" s="4"/>
      <c r="AP1318" s="3"/>
      <c r="AQ1318" s="4"/>
      <c r="AR1318" s="3"/>
      <c r="AS1318" s="3"/>
      <c r="AT1318" s="4"/>
      <c r="AU1318" s="3"/>
      <c r="AV1318" s="4"/>
      <c r="AW1318" s="4"/>
      <c r="AX1318" s="4"/>
      <c r="AY1318" s="4"/>
      <c r="AZ1318" s="4"/>
      <c r="BA1318" s="4"/>
      <c r="BB1318" s="4"/>
      <c r="BC1318" s="4"/>
      <c r="BD1318" s="4"/>
      <c r="BE1318" s="4"/>
      <c r="BF1318" s="3"/>
      <c r="BG1318" s="3"/>
      <c r="BH1318" s="3"/>
      <c r="BI1318" s="4"/>
      <c r="BJ1318" s="3"/>
      <c r="BK1318" s="4"/>
      <c r="BL1318" s="4"/>
      <c r="BM1318" s="3"/>
      <c r="BN1318" s="4"/>
      <c r="BO1318" s="4"/>
      <c r="BP1318" s="4"/>
      <c r="BQ1318" s="4"/>
      <c r="BR1318" s="4"/>
      <c r="BS1318" s="4"/>
      <c r="BT1318" s="4"/>
      <c r="BU1318" s="4"/>
      <c r="BV1318" s="4"/>
      <c r="BW1318" s="4"/>
      <c r="BX1318" s="4"/>
      <c r="BY1318" s="4"/>
      <c r="BZ1318" s="4"/>
      <c r="CA1318" s="4"/>
      <c r="CB1318" s="4"/>
      <c r="CC1318" s="4"/>
      <c r="CD1318" s="4"/>
      <c r="CE1318" s="4"/>
      <c r="CF1318" s="4"/>
      <c r="CG1318" s="4"/>
      <c r="CH1318" s="4"/>
      <c r="CI1318" s="4"/>
      <c r="CJ1318" s="4"/>
      <c r="CK1318" s="4"/>
      <c r="CL1318" s="4"/>
      <c r="CM1318" s="4"/>
      <c r="CN1318" s="4"/>
      <c r="CO1318" s="4"/>
      <c r="CP1318" s="4"/>
      <c r="CQ1318" s="4"/>
      <c r="CR1318" s="4"/>
      <c r="CS1318" s="4"/>
      <c r="CT1318" s="4"/>
      <c r="CU1318" s="4"/>
      <c r="CV1318" s="4"/>
      <c r="CW1318" s="4"/>
      <c r="CX1318" s="4"/>
      <c r="CY1318" s="4"/>
      <c r="CZ1318" s="4"/>
      <c r="DA1318" s="4"/>
      <c r="DB1318" s="3"/>
      <c r="DC1318" s="3"/>
      <c r="DD1318" s="4"/>
      <c r="DE1318" s="4"/>
      <c r="DF1318" s="4"/>
      <c r="DG1318" s="4"/>
      <c r="DH1318" s="4"/>
      <c r="DI1318" s="4"/>
      <c r="DJ1318" s="4"/>
      <c r="DK1318" s="4"/>
      <c r="DL1318" s="4"/>
      <c r="DM1318" s="4"/>
      <c r="DN1318" s="4"/>
      <c r="DO1318" s="4"/>
      <c r="DP1318" s="4"/>
      <c r="DQ1318" s="4"/>
      <c r="DR1318" s="4"/>
      <c r="DS1318" s="4"/>
      <c r="DT1318" s="4"/>
      <c r="DU1318" s="4"/>
      <c r="DV1318" s="4"/>
      <c r="DW1318" s="4"/>
      <c r="DX1318" s="4"/>
      <c r="DY1318" s="4"/>
      <c r="DZ1318" s="4"/>
      <c r="EA1318" s="4"/>
      <c r="EB1318" s="4"/>
      <c r="EC1318" s="4"/>
      <c r="ED1318" s="4"/>
      <c r="EE1318" s="4"/>
      <c r="EF1318" s="4"/>
      <c r="EG1318" s="4"/>
      <c r="EH1318" s="4"/>
      <c r="EI1318" s="4"/>
      <c r="EJ1318" s="4"/>
      <c r="EK1318" s="4"/>
      <c r="EL1318" s="4"/>
      <c r="EM1318" s="4"/>
      <c r="EN1318" s="4"/>
      <c r="EO1318" s="4"/>
    </row>
    <row r="1319" spans="1:150" hidden="1">
      <c r="A1319" s="11" t="s">
        <v>9940</v>
      </c>
      <c r="B1319" s="3" t="s">
        <v>8373</v>
      </c>
      <c r="C1319" s="3">
        <v>2012</v>
      </c>
      <c r="D1319" s="3" t="s">
        <v>4051</v>
      </c>
      <c r="E1319" s="3" t="s">
        <v>8709</v>
      </c>
      <c r="F1319" s="3">
        <v>1</v>
      </c>
      <c r="G1319" s="3"/>
      <c r="H1319" s="3" t="s">
        <v>8710</v>
      </c>
      <c r="I1319" s="3"/>
      <c r="J1319" s="3"/>
      <c r="K1319" s="3" t="s">
        <v>132</v>
      </c>
      <c r="L1319" s="4"/>
      <c r="M1319" s="3" t="s">
        <v>8382</v>
      </c>
      <c r="T1319" s="3" t="s">
        <v>4053</v>
      </c>
      <c r="V1319" s="3"/>
      <c r="W1319" s="3"/>
      <c r="X1319" s="5" t="s">
        <v>4056</v>
      </c>
      <c r="Y1319" s="5"/>
      <c r="Z1319" s="3">
        <v>1</v>
      </c>
      <c r="AA1319" s="4"/>
      <c r="AB1319" s="4"/>
      <c r="AE1319" s="3"/>
      <c r="AF1319" s="3"/>
      <c r="AG1319" s="4"/>
      <c r="AH1319" s="4"/>
      <c r="AI1319" s="4"/>
      <c r="AJ1319" s="4"/>
      <c r="AK1319" s="3"/>
      <c r="AL1319" s="3"/>
      <c r="AM1319" s="3"/>
      <c r="AN1319" s="3"/>
      <c r="AO1319" s="4"/>
      <c r="AP1319" s="3"/>
      <c r="AQ1319" s="4"/>
      <c r="AR1319" s="3"/>
      <c r="AS1319" s="3"/>
      <c r="AT1319" s="4"/>
      <c r="AU1319" s="3"/>
      <c r="AV1319" s="4"/>
      <c r="AW1319" s="4"/>
      <c r="AX1319" s="4"/>
      <c r="AY1319" s="4"/>
      <c r="AZ1319" s="4"/>
      <c r="BA1319" s="4"/>
      <c r="BB1319" s="4"/>
      <c r="BC1319" s="4"/>
      <c r="BD1319" s="4"/>
      <c r="BE1319" s="4"/>
      <c r="BF1319" s="3"/>
      <c r="BG1319" s="3"/>
      <c r="BH1319" s="3"/>
      <c r="BI1319" s="4"/>
      <c r="BJ1319" s="3"/>
      <c r="BK1319" s="4"/>
      <c r="BL1319" s="4"/>
      <c r="BM1319" s="3"/>
      <c r="BN1319" s="4"/>
      <c r="BO1319" s="4"/>
      <c r="BP1319" s="4"/>
      <c r="BQ1319" s="4"/>
      <c r="BR1319" s="4"/>
      <c r="BS1319" s="4"/>
      <c r="BT1319" s="4"/>
      <c r="BU1319" s="4"/>
      <c r="BV1319" s="4"/>
      <c r="BW1319" s="4"/>
      <c r="BX1319" s="4"/>
      <c r="BY1319" s="4"/>
      <c r="BZ1319" s="4"/>
      <c r="CA1319" s="4"/>
      <c r="CB1319" s="4"/>
      <c r="CC1319" s="4"/>
      <c r="CD1319" s="4"/>
      <c r="CE1319" s="4"/>
      <c r="CF1319" s="4"/>
      <c r="CG1319" s="4"/>
      <c r="CH1319" s="4"/>
      <c r="CI1319" s="4"/>
      <c r="CJ1319" s="4"/>
      <c r="CK1319" s="4"/>
      <c r="CL1319" s="4"/>
      <c r="CM1319" s="4"/>
      <c r="CN1319" s="4"/>
      <c r="CO1319" s="4"/>
      <c r="CP1319" s="4"/>
      <c r="CQ1319" s="4"/>
      <c r="CR1319" s="4"/>
      <c r="CS1319" s="4"/>
      <c r="CT1319" s="4"/>
      <c r="CU1319" s="4"/>
      <c r="CV1319" s="4"/>
      <c r="CW1319" s="4"/>
      <c r="CX1319" s="4"/>
      <c r="CY1319" s="4"/>
      <c r="CZ1319" s="4"/>
      <c r="DA1319" s="4"/>
      <c r="DB1319" s="3"/>
      <c r="DC1319" s="3"/>
      <c r="DD1319" s="8"/>
      <c r="DE1319" s="4"/>
      <c r="DF1319" s="4"/>
      <c r="DG1319" s="4"/>
      <c r="DH1319" s="4"/>
      <c r="DI1319" s="8"/>
      <c r="DJ1319" s="8"/>
      <c r="DK1319" s="8"/>
      <c r="DL1319" s="8"/>
      <c r="DM1319" s="4"/>
      <c r="DN1319" s="4"/>
      <c r="DO1319" s="4"/>
      <c r="DP1319" s="4"/>
      <c r="DQ1319" s="4"/>
      <c r="DR1319" s="4"/>
      <c r="DS1319" s="4"/>
      <c r="DT1319" s="4"/>
      <c r="DU1319" s="4"/>
      <c r="DV1319" s="4"/>
      <c r="DW1319" s="4"/>
      <c r="DX1319" s="4"/>
      <c r="DY1319" s="4"/>
      <c r="DZ1319" s="4"/>
      <c r="EA1319" s="4"/>
      <c r="EB1319" s="4"/>
      <c r="EC1319" s="4"/>
      <c r="ED1319" s="4"/>
      <c r="EE1319" s="4"/>
      <c r="EF1319" s="4"/>
      <c r="EG1319" s="8"/>
      <c r="EH1319" s="8"/>
      <c r="EI1319" s="8"/>
      <c r="EJ1319" s="8"/>
      <c r="EK1319" s="8"/>
      <c r="EL1319" s="8"/>
      <c r="EM1319" s="4"/>
      <c r="EN1319" s="4"/>
      <c r="EO1319" s="4"/>
    </row>
    <row r="1320" spans="1:150" hidden="1">
      <c r="A1320" s="11" t="s">
        <v>9940</v>
      </c>
      <c r="B1320" s="3" t="s">
        <v>8373</v>
      </c>
      <c r="C1320" s="3">
        <v>2010</v>
      </c>
      <c r="D1320" s="3" t="s">
        <v>9434</v>
      </c>
      <c r="E1320" s="3" t="s">
        <v>9435</v>
      </c>
      <c r="F1320" s="3">
        <v>1</v>
      </c>
      <c r="G1320" s="3"/>
      <c r="H1320" s="3" t="s">
        <v>9438</v>
      </c>
      <c r="I1320" s="3"/>
      <c r="J1320" s="3"/>
      <c r="K1320" s="3" t="s">
        <v>48</v>
      </c>
      <c r="L1320" s="4"/>
      <c r="M1320" s="3" t="s">
        <v>9357</v>
      </c>
      <c r="T1320" s="3" t="s">
        <v>9436</v>
      </c>
      <c r="V1320" s="3"/>
      <c r="W1320" s="3"/>
      <c r="X1320" s="5" t="s">
        <v>9437</v>
      </c>
      <c r="Y1320" s="5"/>
      <c r="Z1320" s="3">
        <v>0</v>
      </c>
      <c r="AA1320" s="3" t="s">
        <v>9178</v>
      </c>
      <c r="AB1320" s="3"/>
      <c r="AE1320" s="3"/>
      <c r="AF1320" s="4"/>
      <c r="AG1320" s="4"/>
      <c r="AH1320" s="4"/>
      <c r="AI1320" s="4"/>
      <c r="AJ1320" s="4"/>
      <c r="AK1320" s="3"/>
      <c r="AL1320" s="3"/>
      <c r="AM1320" s="3"/>
      <c r="AN1320" s="3"/>
      <c r="AO1320" s="4"/>
      <c r="AP1320" s="3"/>
      <c r="AQ1320" s="4"/>
      <c r="AR1320" s="3"/>
      <c r="AS1320" s="3"/>
      <c r="AT1320" s="4"/>
      <c r="AU1320" s="3"/>
      <c r="AV1320" s="4"/>
      <c r="AW1320" s="4"/>
      <c r="AX1320" s="4"/>
      <c r="AY1320" s="4"/>
      <c r="AZ1320" s="4"/>
      <c r="BA1320" s="4"/>
      <c r="BB1320" s="4"/>
      <c r="BC1320" s="4"/>
      <c r="BD1320" s="4"/>
      <c r="BE1320" s="4"/>
      <c r="BF1320" s="3"/>
      <c r="BG1320" s="3"/>
      <c r="BH1320" s="3"/>
      <c r="BI1320" s="4"/>
      <c r="BJ1320" s="3"/>
      <c r="BK1320" s="4"/>
      <c r="BL1320" s="4"/>
      <c r="BM1320" s="3"/>
      <c r="BN1320" s="4"/>
      <c r="BO1320" s="4"/>
      <c r="BP1320" s="4"/>
      <c r="BQ1320" s="4"/>
      <c r="BR1320" s="4"/>
      <c r="BS1320" s="4"/>
      <c r="BT1320" s="4"/>
      <c r="BU1320" s="4"/>
      <c r="BV1320" s="4"/>
      <c r="BW1320" s="4"/>
      <c r="BX1320" s="4"/>
      <c r="BY1320" s="4"/>
      <c r="BZ1320" s="4"/>
      <c r="CA1320" s="4"/>
      <c r="CB1320" s="4"/>
      <c r="CC1320" s="4"/>
      <c r="CD1320" s="4"/>
      <c r="CE1320" s="4"/>
      <c r="CF1320" s="4"/>
      <c r="CG1320" s="4"/>
      <c r="CH1320" s="4"/>
      <c r="CI1320" s="4"/>
      <c r="CJ1320" s="4"/>
      <c r="CK1320" s="4"/>
      <c r="CL1320" s="4"/>
      <c r="CM1320" s="4"/>
      <c r="CN1320" s="4"/>
      <c r="CO1320" s="4"/>
      <c r="CP1320" s="4"/>
      <c r="CQ1320" s="4"/>
      <c r="CR1320" s="4"/>
      <c r="CS1320" s="4"/>
      <c r="CT1320" s="4"/>
      <c r="CU1320" s="4"/>
      <c r="CV1320" s="4"/>
      <c r="CW1320" s="4"/>
      <c r="CX1320" s="4"/>
      <c r="CY1320" s="4"/>
      <c r="CZ1320" s="3"/>
      <c r="DA1320" s="3"/>
      <c r="DB1320" s="4"/>
      <c r="DC1320" s="4"/>
      <c r="DD1320" s="4"/>
      <c r="DE1320" s="4"/>
      <c r="DF1320" s="4"/>
      <c r="DG1320" s="4"/>
      <c r="DH1320" s="4"/>
      <c r="DI1320" s="4"/>
      <c r="DJ1320" s="4"/>
      <c r="DK1320" s="4"/>
      <c r="DL1320" s="4"/>
      <c r="DM1320" s="4"/>
      <c r="DN1320" s="4"/>
      <c r="DO1320" s="4"/>
      <c r="DP1320" s="4"/>
      <c r="DQ1320" s="4"/>
      <c r="DR1320" s="4"/>
      <c r="DS1320" s="4"/>
      <c r="DT1320" s="4"/>
      <c r="DU1320" s="4"/>
      <c r="DV1320" s="4"/>
      <c r="DW1320" s="4"/>
      <c r="DX1320" s="4"/>
      <c r="DY1320" s="4"/>
      <c r="DZ1320" s="4"/>
      <c r="EA1320" s="4"/>
      <c r="EB1320" s="4"/>
      <c r="EC1320" s="4"/>
      <c r="ED1320" s="4"/>
      <c r="EE1320" s="4"/>
      <c r="EF1320" s="4"/>
      <c r="EG1320" s="4"/>
      <c r="EH1320" s="4"/>
      <c r="EI1320" s="4"/>
      <c r="EJ1320" s="4"/>
      <c r="EK1320" s="4"/>
      <c r="EL1320" s="4"/>
      <c r="EM1320" s="4"/>
    </row>
    <row r="1321" spans="1:150" hidden="1">
      <c r="A1321" s="11" t="s">
        <v>9940</v>
      </c>
      <c r="B1321" s="3" t="s">
        <v>8373</v>
      </c>
      <c r="C1321" s="3">
        <v>2014</v>
      </c>
      <c r="D1321" s="3" t="s">
        <v>2899</v>
      </c>
      <c r="E1321" s="3" t="s">
        <v>8711</v>
      </c>
      <c r="F1321" s="3">
        <v>1</v>
      </c>
      <c r="G1321" s="3"/>
      <c r="H1321" s="3" t="s">
        <v>8713</v>
      </c>
      <c r="I1321" s="3"/>
      <c r="J1321" s="3"/>
      <c r="K1321" s="3" t="s">
        <v>2900</v>
      </c>
      <c r="L1321" s="4"/>
      <c r="M1321" s="3" t="s">
        <v>8712</v>
      </c>
      <c r="T1321" s="3" t="s">
        <v>2902</v>
      </c>
      <c r="V1321" s="3"/>
      <c r="W1321" s="3"/>
      <c r="X1321" s="5" t="s">
        <v>2905</v>
      </c>
      <c r="Y1321" s="5"/>
      <c r="Z1321" s="3">
        <v>1</v>
      </c>
      <c r="AA1321" s="4"/>
      <c r="AB1321" s="4"/>
      <c r="AE1321" s="3"/>
      <c r="AF1321" s="3"/>
      <c r="AG1321" s="4"/>
      <c r="AH1321" s="4"/>
      <c r="AI1321" s="4"/>
      <c r="AJ1321" s="4"/>
      <c r="AK1321" s="3"/>
      <c r="AL1321" s="3"/>
      <c r="AM1321" s="3"/>
      <c r="AN1321" s="3"/>
      <c r="AO1321" s="4"/>
      <c r="AP1321" s="3"/>
      <c r="AQ1321" s="4"/>
      <c r="AR1321" s="3"/>
      <c r="AS1321" s="3"/>
      <c r="AT1321" s="4"/>
      <c r="AU1321" s="3"/>
      <c r="AV1321" s="4"/>
      <c r="AW1321" s="4"/>
      <c r="AX1321" s="4"/>
      <c r="AY1321" s="4"/>
      <c r="AZ1321" s="4"/>
      <c r="BA1321" s="4"/>
      <c r="BB1321" s="4"/>
      <c r="BC1321" s="4"/>
      <c r="BD1321" s="4"/>
      <c r="BE1321" s="4"/>
      <c r="BF1321" s="3"/>
      <c r="BG1321" s="3"/>
      <c r="BH1321" s="3"/>
      <c r="BI1321" s="4"/>
      <c r="BJ1321" s="3"/>
      <c r="BK1321" s="4"/>
      <c r="BL1321" s="3"/>
      <c r="BM1321" s="4"/>
      <c r="BN1321" s="4"/>
      <c r="BO1321" s="4"/>
      <c r="BP1321" s="4"/>
      <c r="BQ1321" s="4"/>
      <c r="BR1321" s="4"/>
      <c r="BS1321" s="4"/>
      <c r="BT1321" s="4"/>
      <c r="BU1321" s="4"/>
      <c r="BV1321" s="4"/>
      <c r="BW1321" s="4"/>
      <c r="BX1321" s="4"/>
      <c r="BY1321" s="4"/>
      <c r="BZ1321" s="4"/>
      <c r="CA1321" s="4"/>
      <c r="CB1321" s="4"/>
      <c r="CC1321" s="4"/>
      <c r="CD1321" s="4"/>
      <c r="CE1321" s="4"/>
      <c r="CF1321" s="4"/>
      <c r="CG1321" s="4"/>
      <c r="CH1321" s="4"/>
      <c r="CI1321" s="4"/>
      <c r="CJ1321" s="4"/>
      <c r="CK1321" s="4"/>
      <c r="CL1321" s="4"/>
      <c r="CM1321" s="4"/>
      <c r="CN1321" s="4"/>
      <c r="CO1321" s="4"/>
      <c r="CP1321" s="4"/>
      <c r="CQ1321" s="3"/>
      <c r="CR1321" s="3"/>
      <c r="CS1321" s="8"/>
      <c r="CT1321" s="4"/>
      <c r="CU1321" s="4"/>
      <c r="CV1321" s="4"/>
      <c r="CW1321" s="4"/>
      <c r="CX1321" s="8"/>
      <c r="CY1321" s="8"/>
      <c r="CZ1321" s="8"/>
      <c r="DA1321" s="8"/>
      <c r="DB1321" s="4"/>
      <c r="DC1321" s="4"/>
      <c r="DD1321" s="4"/>
      <c r="DE1321" s="4"/>
      <c r="DF1321" s="4"/>
      <c r="DG1321" s="4"/>
      <c r="DH1321" s="4"/>
      <c r="DI1321" s="4"/>
      <c r="DJ1321" s="4"/>
      <c r="DK1321" s="4"/>
      <c r="DL1321" s="4"/>
      <c r="DM1321" s="4"/>
      <c r="DN1321" s="4"/>
      <c r="DO1321" s="4"/>
      <c r="DP1321" s="4"/>
      <c r="DQ1321" s="4"/>
      <c r="DR1321" s="4"/>
      <c r="DS1321" s="4"/>
      <c r="DT1321" s="4"/>
      <c r="DU1321" s="4"/>
      <c r="DV1321" s="8"/>
      <c r="DW1321" s="8"/>
      <c r="DX1321" s="8"/>
      <c r="DY1321" s="8"/>
      <c r="DZ1321" s="8"/>
      <c r="EA1321" s="8"/>
      <c r="EB1321" s="4"/>
      <c r="EC1321" s="4"/>
      <c r="ED1321" s="4"/>
    </row>
    <row r="1322" spans="1:150" hidden="1">
      <c r="A1322" s="11" t="s">
        <v>9940</v>
      </c>
      <c r="B1322" s="3" t="s">
        <v>8373</v>
      </c>
      <c r="C1322" s="3">
        <v>2008</v>
      </c>
      <c r="D1322" s="3" t="s">
        <v>8714</v>
      </c>
      <c r="E1322" s="3" t="s">
        <v>8715</v>
      </c>
      <c r="F1322" s="3">
        <v>1</v>
      </c>
      <c r="G1322" s="3"/>
      <c r="H1322" s="3" t="s">
        <v>8720</v>
      </c>
      <c r="I1322" s="3"/>
      <c r="J1322" s="3"/>
      <c r="K1322" s="3" t="s">
        <v>8716</v>
      </c>
      <c r="L1322" s="4"/>
      <c r="M1322" s="3" t="s">
        <v>8717</v>
      </c>
      <c r="T1322" s="3" t="s">
        <v>8718</v>
      </c>
      <c r="V1322" s="3"/>
      <c r="W1322" s="4"/>
      <c r="X1322" s="5" t="s">
        <v>8719</v>
      </c>
      <c r="Y1322" s="5"/>
      <c r="Z1322" s="3">
        <v>1</v>
      </c>
      <c r="AA1322" s="4"/>
      <c r="AB1322" s="4"/>
      <c r="AE1322" s="3"/>
      <c r="AF1322" s="3"/>
      <c r="AG1322" s="4"/>
      <c r="AH1322" s="4"/>
      <c r="AI1322" s="4"/>
      <c r="AJ1322" s="4"/>
      <c r="AK1322" s="3"/>
      <c r="AL1322" s="3"/>
      <c r="AM1322" s="3"/>
      <c r="AN1322" s="3"/>
      <c r="AO1322" s="4"/>
      <c r="AP1322" s="3"/>
      <c r="AQ1322" s="4"/>
      <c r="AR1322" s="3"/>
      <c r="AS1322" s="3"/>
      <c r="AT1322" s="4"/>
      <c r="AU1322" s="3"/>
      <c r="AV1322" s="4"/>
      <c r="AW1322" s="4"/>
      <c r="AX1322" s="4"/>
      <c r="AY1322" s="4"/>
      <c r="AZ1322" s="4"/>
      <c r="BA1322" s="4"/>
      <c r="BB1322" s="4"/>
      <c r="BC1322" s="4"/>
      <c r="BD1322" s="4"/>
      <c r="BE1322" s="4"/>
      <c r="BF1322" s="3"/>
      <c r="BG1322" s="3"/>
      <c r="BH1322" s="3"/>
      <c r="BI1322" s="4"/>
      <c r="BJ1322" s="3"/>
      <c r="BK1322" s="4"/>
      <c r="BL1322" s="4"/>
      <c r="BM1322" s="3"/>
      <c r="BN1322" s="4"/>
      <c r="BO1322" s="4"/>
      <c r="BP1322" s="4"/>
      <c r="BQ1322" s="4"/>
      <c r="BR1322" s="4"/>
      <c r="BS1322" s="4"/>
      <c r="BT1322" s="4"/>
      <c r="BU1322" s="4"/>
      <c r="BV1322" s="4"/>
      <c r="BW1322" s="4"/>
      <c r="BX1322" s="4"/>
      <c r="BY1322" s="4"/>
      <c r="BZ1322" s="4"/>
      <c r="CA1322" s="4"/>
      <c r="CB1322" s="4"/>
      <c r="CC1322" s="4"/>
      <c r="CD1322" s="4"/>
      <c r="CE1322" s="4"/>
      <c r="CF1322" s="4"/>
      <c r="CG1322" s="4"/>
      <c r="CH1322" s="4"/>
      <c r="CI1322" s="4"/>
      <c r="CJ1322" s="4"/>
      <c r="CK1322" s="4"/>
      <c r="CL1322" s="4"/>
      <c r="CM1322" s="4"/>
      <c r="CN1322" s="4"/>
      <c r="CO1322" s="4"/>
      <c r="CP1322" s="4"/>
      <c r="CQ1322" s="4"/>
      <c r="CR1322" s="4"/>
      <c r="CS1322" s="4"/>
      <c r="CT1322" s="4"/>
      <c r="CU1322" s="4"/>
      <c r="CV1322" s="4"/>
      <c r="CW1322" s="4"/>
      <c r="CX1322" s="4"/>
      <c r="CY1322" s="4"/>
      <c r="CZ1322" s="4"/>
      <c r="DA1322" s="4"/>
      <c r="DB1322" s="4"/>
      <c r="DC1322" s="4"/>
      <c r="DD1322" s="3"/>
      <c r="DE1322" s="3"/>
      <c r="DF1322" s="8"/>
      <c r="DG1322" s="4"/>
      <c r="DH1322" s="4"/>
      <c r="DI1322" s="4"/>
      <c r="DJ1322" s="4"/>
      <c r="DK1322" s="8"/>
      <c r="DL1322" s="8"/>
      <c r="DM1322" s="8"/>
      <c r="DN1322" s="8"/>
      <c r="DO1322" s="4"/>
      <c r="DP1322" s="4"/>
      <c r="DQ1322" s="4"/>
      <c r="DR1322" s="4"/>
      <c r="DS1322" s="4"/>
      <c r="DT1322" s="4"/>
      <c r="DU1322" s="4"/>
      <c r="DV1322" s="4"/>
      <c r="DW1322" s="4"/>
      <c r="DX1322" s="4"/>
      <c r="DY1322" s="4"/>
      <c r="DZ1322" s="4"/>
      <c r="EA1322" s="4"/>
      <c r="EB1322" s="4"/>
      <c r="EC1322" s="4"/>
      <c r="ED1322" s="4"/>
      <c r="EE1322" s="4"/>
      <c r="EF1322" s="4"/>
      <c r="EG1322" s="4"/>
      <c r="EH1322" s="4"/>
      <c r="EI1322" s="8"/>
      <c r="EJ1322" s="8"/>
      <c r="EK1322" s="8"/>
      <c r="EL1322" s="8"/>
      <c r="EM1322" s="8"/>
      <c r="EN1322" s="8"/>
      <c r="EO1322" s="4"/>
      <c r="EP1322" s="4"/>
      <c r="EQ1322" s="4"/>
    </row>
    <row r="1323" spans="1:150" hidden="1">
      <c r="A1323" s="11" t="s">
        <v>9940</v>
      </c>
      <c r="B1323" s="3" t="s">
        <v>8373</v>
      </c>
      <c r="C1323" s="3">
        <v>2006</v>
      </c>
      <c r="D1323" s="3" t="s">
        <v>7891</v>
      </c>
      <c r="E1323" s="3" t="s">
        <v>9439</v>
      </c>
      <c r="F1323" s="3">
        <v>1</v>
      </c>
      <c r="G1323" s="3"/>
      <c r="H1323" s="3" t="s">
        <v>7895</v>
      </c>
      <c r="I1323" s="3"/>
      <c r="J1323" s="3"/>
      <c r="K1323" s="3" t="s">
        <v>2541</v>
      </c>
      <c r="L1323" s="4"/>
      <c r="M1323" s="12">
        <v>27120</v>
      </c>
      <c r="T1323" s="3" t="s">
        <v>7893</v>
      </c>
      <c r="V1323" s="3"/>
      <c r="W1323" s="3"/>
      <c r="X1323" s="5" t="s">
        <v>7896</v>
      </c>
      <c r="Y1323" s="5"/>
      <c r="Z1323" s="3">
        <v>0</v>
      </c>
      <c r="AA1323" s="3" t="s">
        <v>9178</v>
      </c>
      <c r="AB1323" s="4"/>
      <c r="AE1323" s="3"/>
      <c r="AF1323" s="4"/>
      <c r="AG1323" s="4"/>
      <c r="AH1323" s="4"/>
      <c r="AI1323" s="4"/>
      <c r="AJ1323" s="4"/>
      <c r="AK1323" s="3"/>
      <c r="AL1323" s="3"/>
      <c r="AM1323" s="3"/>
      <c r="AN1323" s="3"/>
      <c r="AO1323" s="4"/>
      <c r="AP1323" s="3"/>
      <c r="AQ1323" s="4"/>
      <c r="AR1323" s="3"/>
      <c r="AS1323" s="3"/>
      <c r="AT1323" s="4"/>
      <c r="AU1323" s="3"/>
      <c r="AV1323" s="4"/>
      <c r="AW1323" s="4"/>
      <c r="AX1323" s="4"/>
      <c r="AY1323" s="4"/>
      <c r="AZ1323" s="4"/>
      <c r="BA1323" s="4"/>
      <c r="BB1323" s="4"/>
      <c r="BC1323" s="4"/>
      <c r="BD1323" s="4"/>
      <c r="BE1323" s="4"/>
      <c r="BF1323" s="3"/>
      <c r="BG1323" s="3"/>
      <c r="BH1323" s="3"/>
      <c r="BI1323" s="4"/>
      <c r="BJ1323" s="3"/>
      <c r="BK1323" s="4"/>
      <c r="BL1323" s="4"/>
      <c r="BM1323" s="3"/>
      <c r="BN1323" s="4"/>
      <c r="BO1323" s="4"/>
      <c r="BP1323" s="4"/>
      <c r="BQ1323" s="4"/>
      <c r="BR1323" s="4"/>
      <c r="BS1323" s="3"/>
      <c r="BT1323" s="3"/>
      <c r="BU1323" s="4"/>
      <c r="BV1323" s="4"/>
      <c r="BW1323" s="4"/>
      <c r="BX1323" s="4"/>
      <c r="BY1323" s="4"/>
      <c r="BZ1323" s="4"/>
      <c r="CA1323" s="4"/>
      <c r="CB1323" s="4"/>
      <c r="CC1323" s="4"/>
      <c r="CD1323" s="4"/>
      <c r="CE1323" s="4"/>
      <c r="CF1323" s="4"/>
      <c r="CG1323" s="4"/>
      <c r="CH1323" s="4"/>
      <c r="CI1323" s="4"/>
      <c r="CJ1323" s="4"/>
      <c r="CK1323" s="4"/>
      <c r="CL1323" s="4"/>
      <c r="CM1323" s="4"/>
      <c r="CN1323" s="4"/>
      <c r="CO1323" s="4"/>
      <c r="CP1323" s="4"/>
      <c r="CQ1323" s="4"/>
      <c r="CR1323" s="4"/>
      <c r="CS1323" s="4"/>
      <c r="CT1323" s="4"/>
      <c r="CU1323" s="4"/>
      <c r="CV1323" s="4"/>
      <c r="CW1323" s="4"/>
      <c r="CX1323" s="4"/>
      <c r="CY1323" s="4"/>
      <c r="CZ1323" s="4"/>
      <c r="DA1323" s="4"/>
      <c r="DB1323" s="4"/>
      <c r="DC1323" s="4"/>
      <c r="DD1323" s="4"/>
      <c r="DE1323" s="4"/>
      <c r="DF1323" s="4"/>
    </row>
    <row r="1324" spans="1:150" hidden="1">
      <c r="A1324" s="11" t="s">
        <v>9940</v>
      </c>
      <c r="B1324" s="3" t="s">
        <v>8373</v>
      </c>
      <c r="C1324" s="3">
        <v>2016</v>
      </c>
      <c r="D1324" s="3" t="s">
        <v>8721</v>
      </c>
      <c r="E1324" s="3" t="s">
        <v>8722</v>
      </c>
      <c r="F1324" s="3">
        <v>1</v>
      </c>
      <c r="G1324" s="3"/>
      <c r="H1324" s="3" t="s">
        <v>8725</v>
      </c>
      <c r="I1324" s="3"/>
      <c r="J1324" s="3"/>
      <c r="K1324" s="3" t="s">
        <v>40</v>
      </c>
      <c r="L1324" s="4"/>
      <c r="M1324" s="3" t="s">
        <v>8500</v>
      </c>
      <c r="T1324" s="3" t="s">
        <v>8723</v>
      </c>
      <c r="V1324" s="3"/>
      <c r="W1324" s="3"/>
      <c r="X1324" s="5" t="s">
        <v>8724</v>
      </c>
      <c r="Y1324" s="5"/>
      <c r="Z1324" s="3">
        <v>1</v>
      </c>
      <c r="AA1324" s="4"/>
      <c r="AB1324" s="3"/>
      <c r="AE1324" s="3"/>
      <c r="AF1324" s="3"/>
      <c r="AG1324" s="4"/>
      <c r="AH1324" s="4"/>
      <c r="AI1324" s="4"/>
      <c r="AJ1324" s="4"/>
      <c r="AK1324" s="3"/>
      <c r="AL1324" s="3"/>
      <c r="AM1324" s="3"/>
      <c r="AN1324" s="3"/>
      <c r="AO1324" s="4"/>
      <c r="AP1324" s="3"/>
      <c r="AQ1324" s="3"/>
      <c r="AR1324" s="3"/>
      <c r="AS1324" s="4"/>
      <c r="AT1324" s="3"/>
      <c r="AU1324" s="4"/>
      <c r="AV1324" s="4"/>
      <c r="AW1324" s="4"/>
      <c r="AX1324" s="4"/>
      <c r="AY1324" s="4"/>
      <c r="AZ1324" s="4"/>
      <c r="BA1324" s="4"/>
      <c r="BB1324" s="4"/>
      <c r="BC1324" s="4"/>
      <c r="BD1324" s="4"/>
      <c r="BE1324" s="3"/>
      <c r="BF1324" s="3"/>
      <c r="BG1324" s="3"/>
      <c r="BH1324" s="4"/>
      <c r="BI1324" s="3"/>
      <c r="BJ1324" s="4"/>
      <c r="BK1324" s="4"/>
      <c r="BL1324" s="4"/>
      <c r="BM1324" s="3"/>
      <c r="BN1324" s="4"/>
      <c r="BO1324" s="4"/>
      <c r="BP1324" s="4"/>
      <c r="BQ1324" s="4"/>
      <c r="BR1324" s="4"/>
      <c r="BS1324" s="4"/>
      <c r="BT1324" s="4"/>
      <c r="BU1324" s="4"/>
      <c r="BV1324" s="4"/>
      <c r="BW1324" s="4"/>
      <c r="BX1324" s="4"/>
      <c r="BY1324" s="4"/>
      <c r="BZ1324" s="4"/>
      <c r="CA1324" s="4"/>
      <c r="CB1324" s="4"/>
      <c r="CC1324" s="4"/>
      <c r="CD1324" s="4"/>
      <c r="CE1324" s="4"/>
      <c r="CF1324" s="4"/>
      <c r="CG1324" s="4"/>
      <c r="CH1324" s="4"/>
      <c r="CI1324" s="4"/>
      <c r="CJ1324" s="4"/>
      <c r="CK1324" s="4"/>
      <c r="CL1324" s="4"/>
      <c r="CM1324" s="4"/>
      <c r="CN1324" s="4"/>
      <c r="CO1324" s="4"/>
      <c r="CP1324" s="4"/>
      <c r="CQ1324" s="4"/>
      <c r="CR1324" s="4"/>
      <c r="CS1324" s="4"/>
      <c r="CT1324" s="4"/>
      <c r="CU1324" s="4"/>
      <c r="CV1324" s="4"/>
      <c r="CW1324" s="4"/>
      <c r="CX1324" s="4"/>
      <c r="CY1324" s="4"/>
      <c r="CZ1324" s="4"/>
      <c r="DA1324" s="3"/>
      <c r="DB1324" s="3"/>
      <c r="DC1324" s="8"/>
      <c r="DD1324" s="4"/>
      <c r="DE1324" s="4"/>
      <c r="DF1324" s="4"/>
      <c r="DG1324" s="4"/>
      <c r="DH1324" s="8"/>
      <c r="DI1324" s="8"/>
      <c r="DJ1324" s="8"/>
      <c r="DK1324" s="8"/>
      <c r="DL1324" s="4"/>
      <c r="DM1324" s="4"/>
      <c r="DN1324" s="4"/>
      <c r="DO1324" s="4"/>
      <c r="DP1324" s="4"/>
      <c r="DQ1324" s="4"/>
      <c r="DR1324" s="4"/>
      <c r="DS1324" s="4"/>
      <c r="DT1324" s="4"/>
      <c r="DU1324" s="4"/>
      <c r="DV1324" s="4"/>
      <c r="DW1324" s="4"/>
      <c r="DX1324" s="4"/>
      <c r="DY1324" s="4"/>
      <c r="DZ1324" s="4"/>
      <c r="EA1324" s="4"/>
      <c r="EB1324" s="4"/>
      <c r="EC1324" s="4"/>
      <c r="ED1324" s="4"/>
      <c r="EE1324" s="4"/>
      <c r="EF1324" s="8"/>
      <c r="EG1324" s="8"/>
      <c r="EH1324" s="8"/>
      <c r="EI1324" s="8"/>
      <c r="EJ1324" s="8"/>
      <c r="EK1324" s="8"/>
      <c r="EL1324" s="4"/>
      <c r="EM1324" s="4"/>
      <c r="EN1324" s="4"/>
    </row>
    <row r="1325" spans="1:150" hidden="1">
      <c r="A1325" s="11" t="s">
        <v>9940</v>
      </c>
      <c r="B1325" s="3" t="s">
        <v>8373</v>
      </c>
      <c r="C1325" s="3">
        <v>2008</v>
      </c>
      <c r="D1325" s="3" t="s">
        <v>735</v>
      </c>
      <c r="E1325" s="3" t="s">
        <v>8726</v>
      </c>
      <c r="F1325" s="3">
        <v>1</v>
      </c>
      <c r="G1325" s="3"/>
      <c r="H1325" s="3" t="s">
        <v>740</v>
      </c>
      <c r="I1325" s="3"/>
      <c r="J1325" s="3"/>
      <c r="K1325" s="3" t="s">
        <v>736</v>
      </c>
      <c r="L1325" s="4"/>
      <c r="M1325" s="3" t="s">
        <v>8727</v>
      </c>
      <c r="T1325" s="3" t="s">
        <v>738</v>
      </c>
      <c r="V1325" s="3"/>
      <c r="W1325" s="4"/>
      <c r="X1325" s="5" t="s">
        <v>741</v>
      </c>
      <c r="Y1325" s="5"/>
      <c r="Z1325" s="3">
        <v>1</v>
      </c>
      <c r="AA1325" s="4"/>
      <c r="AB1325" s="4"/>
      <c r="AE1325" s="3"/>
      <c r="AF1325" s="3"/>
      <c r="AG1325" s="4"/>
      <c r="AH1325" s="4"/>
      <c r="AI1325" s="4"/>
      <c r="AJ1325" s="4"/>
      <c r="AK1325" s="3"/>
      <c r="AL1325" s="3"/>
      <c r="AM1325" s="3"/>
      <c r="AN1325" s="3"/>
      <c r="AO1325" s="4"/>
      <c r="AP1325" s="3"/>
      <c r="AQ1325" s="4"/>
      <c r="AR1325" s="3"/>
      <c r="AS1325" s="3"/>
      <c r="AT1325" s="4"/>
      <c r="AU1325" s="3"/>
      <c r="AV1325" s="4"/>
      <c r="AW1325" s="4"/>
      <c r="AX1325" s="4"/>
      <c r="AY1325" s="4"/>
      <c r="AZ1325" s="4"/>
      <c r="BA1325" s="4"/>
      <c r="BB1325" s="4"/>
      <c r="BC1325" s="4"/>
      <c r="BD1325" s="4"/>
      <c r="BE1325" s="4"/>
      <c r="BF1325" s="3"/>
      <c r="BG1325" s="3"/>
      <c r="BH1325" s="3"/>
      <c r="BI1325" s="4"/>
      <c r="BJ1325" s="3"/>
      <c r="BK1325" s="4"/>
      <c r="BL1325" s="4"/>
      <c r="BM1325" s="3"/>
      <c r="BN1325" s="4"/>
      <c r="BO1325" s="4"/>
      <c r="BP1325" s="4"/>
      <c r="BQ1325" s="4"/>
      <c r="BR1325" s="4"/>
      <c r="BS1325" s="4"/>
      <c r="BT1325" s="4"/>
      <c r="BU1325" s="4"/>
      <c r="BV1325" s="4"/>
      <c r="BW1325" s="4"/>
      <c r="BX1325" s="4"/>
      <c r="BY1325" s="4"/>
      <c r="BZ1325" s="4"/>
      <c r="CA1325" s="4"/>
      <c r="CB1325" s="4"/>
      <c r="CC1325" s="4"/>
      <c r="CD1325" s="4"/>
      <c r="CE1325" s="4"/>
      <c r="CF1325" s="4"/>
      <c r="CG1325" s="3"/>
      <c r="CH1325" s="3"/>
      <c r="CI1325" s="8"/>
      <c r="CJ1325" s="4"/>
      <c r="CK1325" s="4"/>
      <c r="CL1325" s="4"/>
      <c r="CM1325" s="4"/>
      <c r="CN1325" s="8"/>
      <c r="CO1325" s="8"/>
      <c r="CP1325" s="8"/>
      <c r="CQ1325" s="8"/>
      <c r="CR1325" s="4"/>
      <c r="CS1325" s="4"/>
      <c r="CT1325" s="4"/>
      <c r="CU1325" s="4"/>
      <c r="CV1325" s="4"/>
      <c r="CW1325" s="4"/>
      <c r="CX1325" s="4"/>
      <c r="CY1325" s="4"/>
      <c r="CZ1325" s="4"/>
      <c r="DA1325" s="4"/>
      <c r="DB1325" s="4"/>
      <c r="DC1325" s="4"/>
      <c r="DD1325" s="4"/>
      <c r="DE1325" s="4"/>
      <c r="DF1325" s="4"/>
      <c r="DG1325" s="4"/>
      <c r="DH1325" s="4"/>
      <c r="DI1325" s="4"/>
      <c r="DJ1325" s="4"/>
      <c r="DK1325" s="4"/>
      <c r="DL1325" s="8"/>
      <c r="DM1325" s="8"/>
      <c r="DN1325" s="8"/>
      <c r="DO1325" s="8"/>
      <c r="DP1325" s="8"/>
      <c r="DQ1325" s="8"/>
      <c r="DR1325" s="4"/>
      <c r="DS1325" s="4"/>
      <c r="DT1325" s="4"/>
    </row>
    <row r="1326" spans="1:150" hidden="1">
      <c r="A1326" s="11" t="s">
        <v>9940</v>
      </c>
      <c r="B1326" s="3" t="s">
        <v>8373</v>
      </c>
      <c r="C1326" s="3">
        <v>2006</v>
      </c>
      <c r="D1326" s="3" t="s">
        <v>5402</v>
      </c>
      <c r="E1326" s="3" t="s">
        <v>8728</v>
      </c>
      <c r="F1326" s="3">
        <v>1</v>
      </c>
      <c r="G1326" s="3"/>
      <c r="H1326" s="3" t="s">
        <v>5407</v>
      </c>
      <c r="I1326" s="3"/>
      <c r="J1326" s="3"/>
      <c r="K1326" s="3" t="s">
        <v>5403</v>
      </c>
      <c r="L1326" s="4"/>
      <c r="M1326" s="3" t="s">
        <v>8729</v>
      </c>
      <c r="T1326" s="3" t="s">
        <v>5405</v>
      </c>
      <c r="V1326" s="3"/>
      <c r="W1326" s="3"/>
      <c r="X1326" s="5" t="s">
        <v>5408</v>
      </c>
      <c r="Y1326" s="5"/>
      <c r="Z1326" s="3">
        <v>1</v>
      </c>
      <c r="AA1326" s="4"/>
      <c r="AB1326" s="4"/>
      <c r="AE1326" s="3"/>
      <c r="AF1326" s="3"/>
      <c r="AG1326" s="4"/>
      <c r="AH1326" s="4"/>
      <c r="AI1326" s="4"/>
      <c r="AJ1326" s="4"/>
      <c r="AK1326" s="3"/>
      <c r="AL1326" s="3"/>
      <c r="AM1326" s="3"/>
      <c r="AN1326" s="3"/>
      <c r="AO1326" s="4"/>
      <c r="AP1326" s="3"/>
      <c r="AQ1326" s="4"/>
      <c r="AR1326" s="3"/>
      <c r="AS1326" s="3"/>
      <c r="AT1326" s="4"/>
      <c r="AU1326" s="3"/>
      <c r="AV1326" s="4"/>
      <c r="AW1326" s="4"/>
      <c r="AX1326" s="4"/>
      <c r="AY1326" s="4"/>
      <c r="AZ1326" s="4"/>
      <c r="BA1326" s="4"/>
      <c r="BB1326" s="4"/>
      <c r="BC1326" s="4"/>
      <c r="BD1326" s="4"/>
      <c r="BE1326" s="4"/>
      <c r="BF1326" s="3"/>
      <c r="BG1326" s="3"/>
      <c r="BH1326" s="3"/>
      <c r="BI1326" s="4"/>
      <c r="BJ1326" s="3"/>
      <c r="BK1326" s="4"/>
      <c r="BL1326" s="4"/>
      <c r="BM1326" s="3"/>
      <c r="BN1326" s="4"/>
      <c r="BO1326" s="4"/>
      <c r="BP1326" s="4"/>
      <c r="BQ1326" s="4"/>
      <c r="BR1326" s="4"/>
      <c r="BS1326" s="4"/>
      <c r="BT1326" s="4"/>
      <c r="BU1326" s="4"/>
      <c r="BV1326" s="4"/>
      <c r="BW1326" s="4"/>
      <c r="BX1326" s="4"/>
      <c r="BY1326" s="4"/>
      <c r="BZ1326" s="4"/>
      <c r="CA1326" s="4"/>
      <c r="CB1326" s="4"/>
      <c r="CC1326" s="4"/>
      <c r="CD1326" s="4"/>
      <c r="CE1326" s="4"/>
      <c r="CF1326" s="4"/>
      <c r="CG1326" s="4"/>
      <c r="CH1326" s="4"/>
      <c r="CI1326" s="4"/>
      <c r="CJ1326" s="4"/>
      <c r="CK1326" s="4"/>
      <c r="CL1326" s="4"/>
      <c r="CM1326" s="4"/>
      <c r="CN1326" s="4"/>
      <c r="CO1326" s="4"/>
      <c r="CP1326" s="4"/>
      <c r="CQ1326" s="4"/>
      <c r="CR1326" s="4"/>
      <c r="CS1326" s="4"/>
      <c r="CT1326" s="4"/>
      <c r="CU1326" s="4"/>
      <c r="CV1326" s="4"/>
      <c r="CW1326" s="4"/>
      <c r="CX1326" s="4"/>
      <c r="CY1326" s="4"/>
      <c r="CZ1326" s="3"/>
      <c r="DA1326" s="3"/>
      <c r="DB1326" s="8"/>
      <c r="DC1326" s="4"/>
      <c r="DD1326" s="4"/>
      <c r="DE1326" s="4"/>
      <c r="DF1326" s="4"/>
      <c r="DG1326" s="8"/>
      <c r="DH1326" s="8"/>
      <c r="DI1326" s="8"/>
      <c r="DJ1326" s="8"/>
      <c r="DK1326" s="4"/>
      <c r="DL1326" s="4"/>
      <c r="DM1326" s="4"/>
      <c r="DN1326" s="4"/>
      <c r="DO1326" s="4"/>
      <c r="DP1326" s="4"/>
      <c r="DQ1326" s="4"/>
      <c r="DR1326" s="4"/>
      <c r="DS1326" s="4"/>
      <c r="DT1326" s="4"/>
      <c r="DU1326" s="4"/>
      <c r="DV1326" s="4"/>
      <c r="DW1326" s="4"/>
      <c r="DX1326" s="4"/>
      <c r="DY1326" s="4"/>
      <c r="DZ1326" s="4"/>
      <c r="EA1326" s="4"/>
      <c r="EB1326" s="4"/>
      <c r="EC1326" s="4"/>
      <c r="ED1326" s="4"/>
      <c r="EE1326" s="8"/>
      <c r="EF1326" s="8"/>
      <c r="EG1326" s="8"/>
      <c r="EH1326" s="8"/>
      <c r="EI1326" s="8"/>
      <c r="EJ1326" s="8"/>
      <c r="EK1326" s="4"/>
      <c r="EL1326" s="4"/>
      <c r="EM1326" s="4"/>
    </row>
    <row r="1327" spans="1:150" hidden="1">
      <c r="A1327" s="11" t="s">
        <v>9940</v>
      </c>
      <c r="B1327" s="3" t="s">
        <v>8379</v>
      </c>
      <c r="C1327" s="3">
        <v>2014</v>
      </c>
      <c r="D1327" s="3" t="s">
        <v>9440</v>
      </c>
      <c r="E1327" s="3" t="s">
        <v>9441</v>
      </c>
      <c r="F1327" s="3">
        <v>1</v>
      </c>
      <c r="G1327" s="4"/>
      <c r="H1327" s="3" t="s">
        <v>9443</v>
      </c>
      <c r="I1327" s="3"/>
      <c r="J1327" s="3"/>
      <c r="K1327" s="4"/>
      <c r="L1327" s="4"/>
      <c r="M1327" s="4"/>
      <c r="T1327" s="4"/>
      <c r="V1327" s="3"/>
      <c r="W1327" s="4"/>
      <c r="X1327" s="5" t="s">
        <v>9442</v>
      </c>
      <c r="Y1327" s="5"/>
      <c r="Z1327" s="3">
        <v>0</v>
      </c>
      <c r="AA1327" s="3" t="s">
        <v>9237</v>
      </c>
      <c r="AB1327" s="4"/>
      <c r="AE1327" s="3"/>
      <c r="AF1327" s="3"/>
      <c r="AG1327" s="3"/>
      <c r="AH1327" s="4"/>
      <c r="AI1327" s="4"/>
      <c r="AJ1327" s="4"/>
      <c r="AK1327" s="3"/>
      <c r="AL1327" s="3"/>
      <c r="AM1327" s="3"/>
      <c r="AN1327" s="3"/>
      <c r="AO1327" s="4"/>
      <c r="AP1327" s="4"/>
      <c r="AQ1327" s="4"/>
      <c r="AR1327" s="4"/>
      <c r="AS1327" s="4"/>
      <c r="AT1327" s="4"/>
      <c r="AU1327" s="4"/>
      <c r="AV1327" s="4"/>
      <c r="AW1327" s="4"/>
      <c r="AX1327" s="4"/>
      <c r="AY1327" s="4"/>
      <c r="AZ1327" s="4"/>
      <c r="BA1327" s="3"/>
      <c r="BB1327" s="4"/>
      <c r="BC1327" s="3"/>
      <c r="BD1327" s="3"/>
      <c r="BE1327" s="3"/>
      <c r="BF1327" s="4"/>
      <c r="BG1327" s="3"/>
      <c r="BH1327" s="3"/>
      <c r="BI1327" s="4"/>
      <c r="BJ1327" s="4"/>
      <c r="BK1327" s="4"/>
      <c r="BL1327" s="4"/>
      <c r="BM1327" s="4"/>
      <c r="BN1327" s="4"/>
      <c r="BO1327" s="4"/>
      <c r="BP1327" s="4"/>
      <c r="BQ1327" s="4"/>
      <c r="BR1327" s="4"/>
      <c r="BS1327" s="4"/>
      <c r="BT1327" s="4"/>
      <c r="BU1327" s="4"/>
      <c r="BV1327" s="4"/>
      <c r="BW1327" s="4"/>
      <c r="BX1327" s="4"/>
      <c r="BY1327" s="4"/>
      <c r="BZ1327" s="4"/>
      <c r="CA1327" s="4"/>
      <c r="CB1327" s="4"/>
      <c r="CC1327" s="4"/>
      <c r="CD1327" s="4"/>
      <c r="CE1327" s="4"/>
      <c r="CF1327" s="3"/>
      <c r="CG1327" s="3"/>
      <c r="CH1327" s="8"/>
      <c r="CI1327" s="4"/>
      <c r="CJ1327" s="4"/>
      <c r="CK1327" s="4"/>
      <c r="CL1327" s="4"/>
      <c r="CM1327" s="8"/>
      <c r="CN1327" s="8"/>
      <c r="CO1327" s="8"/>
      <c r="CP1327" s="8"/>
      <c r="CQ1327" s="4"/>
      <c r="CR1327" s="4"/>
      <c r="CS1327" s="4"/>
      <c r="CT1327" s="4"/>
      <c r="CU1327" s="4"/>
      <c r="CV1327" s="4"/>
      <c r="CW1327" s="4"/>
      <c r="CX1327" s="4"/>
      <c r="CY1327" s="4"/>
      <c r="CZ1327" s="4"/>
      <c r="DA1327" s="4"/>
      <c r="DB1327" s="4"/>
      <c r="DC1327" s="4"/>
      <c r="DD1327" s="4"/>
      <c r="DE1327" s="4"/>
      <c r="DF1327" s="4"/>
      <c r="DG1327" s="4"/>
      <c r="DH1327" s="4"/>
      <c r="DI1327" s="4"/>
      <c r="DJ1327" s="4"/>
      <c r="DK1327" s="8"/>
      <c r="DL1327" s="8"/>
      <c r="DM1327" s="8"/>
      <c r="DN1327" s="8"/>
      <c r="DO1327" s="8"/>
      <c r="DP1327" s="8"/>
      <c r="DQ1327" s="4"/>
      <c r="DR1327" s="4"/>
      <c r="DS1327" s="4"/>
    </row>
    <row r="1328" spans="1:150" hidden="1">
      <c r="A1328" s="11" t="s">
        <v>9940</v>
      </c>
      <c r="B1328" s="3" t="s">
        <v>8373</v>
      </c>
      <c r="C1328" s="3">
        <v>2010</v>
      </c>
      <c r="D1328" s="3" t="s">
        <v>2825</v>
      </c>
      <c r="E1328" s="3" t="s">
        <v>8730</v>
      </c>
      <c r="F1328" s="3">
        <v>1</v>
      </c>
      <c r="G1328" s="3"/>
      <c r="H1328" s="3" t="s">
        <v>8731</v>
      </c>
      <c r="I1328" s="3"/>
      <c r="J1328" s="3"/>
      <c r="K1328" s="3" t="s">
        <v>2826</v>
      </c>
      <c r="L1328" s="4"/>
      <c r="M1328" s="3" t="s">
        <v>8534</v>
      </c>
      <c r="T1328" s="3" t="s">
        <v>2828</v>
      </c>
      <c r="V1328" s="3"/>
      <c r="W1328" s="4"/>
      <c r="X1328" s="5" t="s">
        <v>2831</v>
      </c>
      <c r="Y1328" s="5"/>
      <c r="Z1328" s="3">
        <v>1</v>
      </c>
      <c r="AA1328" s="4"/>
      <c r="AB1328" s="4"/>
      <c r="AE1328" s="3"/>
      <c r="AF1328" s="3"/>
      <c r="AG1328" s="4"/>
      <c r="AH1328" s="4"/>
      <c r="AI1328" s="4"/>
      <c r="AJ1328" s="4"/>
      <c r="AK1328" s="3"/>
      <c r="AL1328" s="7"/>
      <c r="AM1328" s="3"/>
      <c r="AN1328" s="3"/>
      <c r="AO1328" s="4"/>
      <c r="AP1328" s="3"/>
      <c r="AQ1328" s="4"/>
      <c r="AR1328" s="3"/>
      <c r="AS1328" s="3"/>
      <c r="AT1328" s="4"/>
      <c r="AU1328" s="3"/>
      <c r="AV1328" s="4"/>
      <c r="AW1328" s="3"/>
      <c r="AX1328" s="4"/>
      <c r="AY1328" s="4"/>
      <c r="AZ1328" s="4"/>
      <c r="BA1328" s="4"/>
      <c r="BB1328" s="4"/>
      <c r="BC1328" s="4"/>
      <c r="BD1328" s="3"/>
      <c r="BE1328" s="3"/>
      <c r="BF1328" s="3"/>
      <c r="BG1328" s="4"/>
      <c r="BH1328" s="3"/>
      <c r="BI1328" s="4"/>
      <c r="BJ1328" s="4"/>
      <c r="BK1328" s="3"/>
      <c r="BL1328" s="4"/>
      <c r="BM1328" s="4"/>
      <c r="BN1328" s="4"/>
      <c r="BO1328" s="4"/>
      <c r="BP1328" s="4"/>
      <c r="BQ1328" s="4"/>
      <c r="BR1328" s="4"/>
      <c r="BS1328" s="4"/>
      <c r="BT1328" s="4"/>
      <c r="BU1328" s="4"/>
      <c r="BV1328" s="4"/>
      <c r="BW1328" s="4"/>
      <c r="BX1328" s="4"/>
      <c r="BY1328" s="4"/>
      <c r="BZ1328" s="4"/>
      <c r="CA1328" s="4"/>
      <c r="CB1328" s="4"/>
      <c r="CC1328" s="4"/>
      <c r="CD1328" s="4"/>
      <c r="CE1328" s="4"/>
      <c r="CF1328" s="4"/>
      <c r="CG1328" s="4"/>
      <c r="CH1328" s="4"/>
      <c r="CI1328" s="4"/>
      <c r="CJ1328" s="4"/>
      <c r="CK1328" s="4"/>
      <c r="CL1328" s="4"/>
      <c r="CM1328" s="4"/>
      <c r="CN1328" s="4"/>
      <c r="CO1328" s="4"/>
      <c r="CP1328" s="4"/>
      <c r="CQ1328" s="4"/>
      <c r="CR1328" s="4"/>
      <c r="CS1328" s="4"/>
      <c r="CT1328" s="4"/>
      <c r="CU1328" s="4"/>
      <c r="CV1328" s="4"/>
      <c r="CW1328" s="4"/>
      <c r="CX1328" s="4"/>
      <c r="CY1328" s="4"/>
      <c r="CZ1328" s="4"/>
      <c r="DA1328" s="4"/>
      <c r="DB1328" s="4"/>
      <c r="DC1328" s="4"/>
      <c r="DD1328" s="4"/>
      <c r="DE1328" s="4"/>
      <c r="DF1328" s="4"/>
      <c r="DG1328" s="3"/>
      <c r="DH1328" s="3"/>
      <c r="DI1328" s="8"/>
      <c r="DJ1328" s="4"/>
      <c r="DK1328" s="4"/>
      <c r="DL1328" s="4"/>
      <c r="DM1328" s="4"/>
      <c r="DN1328" s="8"/>
      <c r="DO1328" s="8"/>
      <c r="DP1328" s="8"/>
      <c r="DQ1328" s="8"/>
      <c r="DR1328" s="4"/>
      <c r="DS1328" s="4"/>
      <c r="DT1328" s="4"/>
      <c r="DU1328" s="4"/>
      <c r="DV1328" s="4"/>
      <c r="DW1328" s="4"/>
      <c r="DX1328" s="4"/>
      <c r="DY1328" s="4"/>
      <c r="DZ1328" s="4"/>
      <c r="EA1328" s="4"/>
      <c r="EB1328" s="4"/>
      <c r="EC1328" s="4"/>
      <c r="ED1328" s="4"/>
      <c r="EE1328" s="4"/>
      <c r="EF1328" s="4"/>
      <c r="EG1328" s="4"/>
      <c r="EH1328" s="4"/>
      <c r="EI1328" s="4"/>
      <c r="EJ1328" s="4"/>
      <c r="EK1328" s="4"/>
      <c r="EL1328" s="8"/>
      <c r="EM1328" s="8"/>
      <c r="EN1328" s="8"/>
      <c r="EO1328" s="8"/>
      <c r="EP1328" s="8"/>
      <c r="EQ1328" s="8"/>
      <c r="ER1328" s="4"/>
      <c r="ES1328" s="4"/>
      <c r="ET1328" s="4"/>
    </row>
    <row r="1329" spans="1:153" hidden="1">
      <c r="A1329" s="11" t="s">
        <v>9940</v>
      </c>
      <c r="B1329" s="3" t="s">
        <v>8373</v>
      </c>
      <c r="C1329" s="3">
        <v>2010</v>
      </c>
      <c r="D1329" s="3" t="s">
        <v>5410</v>
      </c>
      <c r="E1329" s="3" t="s">
        <v>8732</v>
      </c>
      <c r="F1329" s="3">
        <v>1</v>
      </c>
      <c r="G1329" s="3"/>
      <c r="H1329" s="3" t="s">
        <v>5414</v>
      </c>
      <c r="I1329" s="3"/>
      <c r="J1329" s="3"/>
      <c r="K1329" s="3" t="s">
        <v>4086</v>
      </c>
      <c r="L1329" s="4"/>
      <c r="M1329" s="3" t="s">
        <v>8440</v>
      </c>
      <c r="T1329" s="3" t="s">
        <v>5412</v>
      </c>
      <c r="V1329" s="3"/>
      <c r="W1329" s="3"/>
      <c r="X1329" s="5" t="s">
        <v>5415</v>
      </c>
      <c r="Y1329" s="5"/>
      <c r="Z1329" s="3">
        <v>1</v>
      </c>
      <c r="AA1329" s="4"/>
      <c r="AB1329" s="4"/>
      <c r="AE1329" s="3"/>
      <c r="AF1329" s="3"/>
      <c r="AG1329" s="4"/>
      <c r="AH1329" s="4"/>
      <c r="AI1329" s="4"/>
      <c r="AJ1329" s="4"/>
      <c r="AK1329" s="3"/>
      <c r="AL1329" s="3"/>
      <c r="AM1329" s="3"/>
      <c r="AN1329" s="3"/>
      <c r="AO1329" s="4"/>
      <c r="AP1329" s="3"/>
      <c r="AQ1329" s="4"/>
      <c r="AR1329" s="3"/>
      <c r="AS1329" s="3"/>
      <c r="AT1329" s="4"/>
      <c r="AU1329" s="3"/>
      <c r="AV1329" s="4"/>
      <c r="AW1329" s="4"/>
      <c r="AX1329" s="4"/>
      <c r="AY1329" s="4"/>
      <c r="AZ1329" s="4"/>
      <c r="BA1329" s="4"/>
      <c r="BB1329" s="4"/>
      <c r="BC1329" s="4"/>
      <c r="BD1329" s="4"/>
      <c r="BE1329" s="4"/>
      <c r="BF1329" s="3"/>
      <c r="BG1329" s="3"/>
      <c r="BH1329" s="3"/>
      <c r="BI1329" s="4"/>
      <c r="BJ1329" s="3"/>
      <c r="BK1329" s="4"/>
      <c r="BL1329" s="4"/>
      <c r="BM1329" s="3"/>
      <c r="BN1329" s="4"/>
      <c r="BO1329" s="4"/>
      <c r="BP1329" s="4"/>
      <c r="BQ1329" s="4"/>
      <c r="BR1329" s="4"/>
      <c r="BS1329" s="4"/>
      <c r="BT1329" s="4"/>
      <c r="BU1329" s="4"/>
      <c r="BV1329" s="4"/>
      <c r="BW1329" s="4"/>
      <c r="BX1329" s="4"/>
      <c r="BY1329" s="4"/>
      <c r="BZ1329" s="4"/>
      <c r="CA1329" s="4"/>
      <c r="CB1329" s="4"/>
      <c r="CC1329" s="4"/>
      <c r="CD1329" s="4"/>
      <c r="CE1329" s="4"/>
      <c r="CF1329" s="4"/>
      <c r="CG1329" s="4"/>
      <c r="CH1329" s="4"/>
      <c r="CI1329" s="4"/>
      <c r="CJ1329" s="4"/>
      <c r="CK1329" s="4"/>
      <c r="CL1329" s="4"/>
      <c r="CM1329" s="4"/>
      <c r="CN1329" s="4"/>
      <c r="CO1329" s="4"/>
      <c r="CP1329" s="4"/>
      <c r="CQ1329" s="4"/>
      <c r="CR1329" s="4"/>
      <c r="CS1329" s="4"/>
      <c r="CT1329" s="4"/>
      <c r="CU1329" s="4"/>
      <c r="CV1329" s="4"/>
      <c r="CW1329" s="4"/>
      <c r="CX1329" s="4"/>
      <c r="CY1329" s="4"/>
      <c r="CZ1329" s="4"/>
      <c r="DA1329" s="4"/>
      <c r="DB1329" s="4"/>
      <c r="DC1329" s="4"/>
      <c r="DD1329" s="3"/>
      <c r="DE1329" s="3"/>
      <c r="DF1329" s="8"/>
      <c r="DG1329" s="4"/>
      <c r="DH1329" s="4"/>
      <c r="DI1329" s="4"/>
      <c r="DJ1329" s="4"/>
      <c r="DK1329" s="8"/>
      <c r="DL1329" s="8"/>
      <c r="DM1329" s="8"/>
      <c r="DN1329" s="8"/>
      <c r="DO1329" s="4"/>
      <c r="DP1329" s="4"/>
      <c r="DQ1329" s="4"/>
      <c r="DR1329" s="4"/>
      <c r="DS1329" s="4"/>
      <c r="DT1329" s="4"/>
      <c r="DU1329" s="4"/>
      <c r="DV1329" s="4"/>
      <c r="DW1329" s="4"/>
      <c r="DX1329" s="4"/>
      <c r="DY1329" s="4"/>
      <c r="DZ1329" s="4"/>
      <c r="EA1329" s="4"/>
      <c r="EB1329" s="4"/>
      <c r="EC1329" s="4"/>
      <c r="ED1329" s="4"/>
      <c r="EE1329" s="4"/>
      <c r="EF1329" s="4"/>
      <c r="EG1329" s="4"/>
      <c r="EH1329" s="4"/>
      <c r="EI1329" s="8"/>
      <c r="EJ1329" s="8"/>
      <c r="EK1329" s="8"/>
      <c r="EL1329" s="8"/>
      <c r="EM1329" s="8"/>
      <c r="EN1329" s="8"/>
      <c r="EO1329" s="4"/>
      <c r="EP1329" s="4"/>
      <c r="EQ1329" s="4"/>
    </row>
    <row r="1330" spans="1:153" hidden="1">
      <c r="A1330" s="11" t="s">
        <v>9940</v>
      </c>
      <c r="B1330" s="3" t="s">
        <v>8373</v>
      </c>
      <c r="C1330" s="3">
        <v>2011</v>
      </c>
      <c r="D1330" s="3" t="s">
        <v>8733</v>
      </c>
      <c r="E1330" s="3" t="s">
        <v>8734</v>
      </c>
      <c r="F1330" s="3">
        <v>1</v>
      </c>
      <c r="G1330" s="3"/>
      <c r="H1330" s="3" t="s">
        <v>8737</v>
      </c>
      <c r="I1330" s="3"/>
      <c r="J1330" s="3"/>
      <c r="K1330" s="3" t="s">
        <v>132</v>
      </c>
      <c r="L1330" s="4"/>
      <c r="M1330" s="3" t="s">
        <v>8382</v>
      </c>
      <c r="T1330" s="3" t="s">
        <v>8735</v>
      </c>
      <c r="V1330" s="3"/>
      <c r="W1330" s="4"/>
      <c r="X1330" s="5" t="s">
        <v>8736</v>
      </c>
      <c r="Y1330" s="5"/>
      <c r="Z1330" s="3">
        <v>1</v>
      </c>
      <c r="AA1330" s="4"/>
      <c r="AB1330" s="4"/>
      <c r="AE1330" s="3"/>
      <c r="AF1330" s="3"/>
      <c r="AG1330" s="4"/>
      <c r="AH1330" s="4"/>
      <c r="AI1330" s="4"/>
      <c r="AJ1330" s="4"/>
      <c r="AK1330" s="3"/>
      <c r="AL1330" s="3"/>
      <c r="AM1330" s="3"/>
      <c r="AN1330" s="3"/>
      <c r="AO1330" s="4"/>
      <c r="AP1330" s="3"/>
      <c r="AQ1330" s="4"/>
      <c r="AR1330" s="3"/>
      <c r="AS1330" s="3"/>
      <c r="AT1330" s="4"/>
      <c r="AU1330" s="3"/>
      <c r="AV1330" s="4"/>
      <c r="AW1330" s="4"/>
      <c r="AX1330" s="4"/>
      <c r="AY1330" s="4"/>
      <c r="AZ1330" s="4"/>
      <c r="BA1330" s="4"/>
      <c r="BB1330" s="4"/>
      <c r="BC1330" s="4"/>
      <c r="BD1330" s="4"/>
      <c r="BE1330" s="4"/>
      <c r="BF1330" s="3"/>
      <c r="BG1330" s="3"/>
      <c r="BH1330" s="3"/>
      <c r="BI1330" s="4"/>
      <c r="BJ1330" s="3"/>
      <c r="BK1330" s="4"/>
      <c r="BL1330" s="4"/>
      <c r="BM1330" s="3"/>
      <c r="BN1330" s="4"/>
      <c r="BO1330" s="4"/>
      <c r="BP1330" s="4"/>
      <c r="BQ1330" s="4"/>
      <c r="BR1330" s="4"/>
      <c r="BS1330" s="4"/>
      <c r="BT1330" s="4"/>
      <c r="BU1330" s="4"/>
      <c r="BV1330" s="4"/>
      <c r="BW1330" s="4"/>
      <c r="BX1330" s="4"/>
      <c r="BY1330" s="4"/>
      <c r="BZ1330" s="4"/>
      <c r="CA1330" s="4"/>
      <c r="CB1330" s="4"/>
      <c r="CC1330" s="4"/>
      <c r="CD1330" s="4"/>
      <c r="CE1330" s="4"/>
      <c r="CF1330" s="4"/>
      <c r="CG1330" s="4"/>
      <c r="CH1330" s="4"/>
      <c r="CI1330" s="4"/>
      <c r="CJ1330" s="4"/>
      <c r="CK1330" s="4"/>
      <c r="CL1330" s="4"/>
      <c r="CM1330" s="4"/>
      <c r="CN1330" s="4"/>
      <c r="CO1330" s="4"/>
      <c r="CP1330" s="4"/>
      <c r="CQ1330" s="4"/>
      <c r="CR1330" s="4"/>
      <c r="CS1330" s="4"/>
      <c r="CT1330" s="4"/>
      <c r="CU1330" s="4"/>
      <c r="CV1330" s="4"/>
      <c r="CW1330" s="4"/>
      <c r="CX1330" s="4"/>
      <c r="CY1330" s="4"/>
      <c r="CZ1330" s="3"/>
      <c r="DA1330" s="3"/>
      <c r="DB1330" s="8"/>
      <c r="DC1330" s="4"/>
      <c r="DD1330" s="4"/>
      <c r="DE1330" s="4"/>
      <c r="DF1330" s="4"/>
      <c r="DG1330" s="8"/>
      <c r="DH1330" s="8"/>
      <c r="DI1330" s="8"/>
      <c r="DJ1330" s="8"/>
      <c r="DK1330" s="4"/>
      <c r="DL1330" s="4"/>
      <c r="DM1330" s="4"/>
      <c r="DN1330" s="4"/>
      <c r="DO1330" s="4"/>
      <c r="DP1330" s="4"/>
      <c r="DQ1330" s="4"/>
      <c r="DR1330" s="4"/>
      <c r="DS1330" s="4"/>
      <c r="DT1330" s="4"/>
      <c r="DU1330" s="4"/>
      <c r="DV1330" s="4"/>
      <c r="DW1330" s="4"/>
      <c r="DX1330" s="4"/>
      <c r="DY1330" s="4"/>
      <c r="DZ1330" s="4"/>
      <c r="EA1330" s="4"/>
      <c r="EB1330" s="4"/>
      <c r="EC1330" s="4"/>
      <c r="ED1330" s="4"/>
      <c r="EE1330" s="8"/>
      <c r="EF1330" s="8"/>
      <c r="EG1330" s="8"/>
      <c r="EH1330" s="8"/>
      <c r="EI1330" s="8"/>
      <c r="EJ1330" s="8"/>
      <c r="EK1330" s="4"/>
      <c r="EL1330" s="4"/>
      <c r="EM1330" s="4"/>
    </row>
    <row r="1331" spans="1:153" hidden="1">
      <c r="A1331" s="11" t="s">
        <v>9940</v>
      </c>
      <c r="B1331" s="3" t="s">
        <v>8373</v>
      </c>
      <c r="C1331" s="3">
        <v>2018</v>
      </c>
      <c r="D1331" s="3" t="s">
        <v>8988</v>
      </c>
      <c r="E1331" s="3" t="s">
        <v>9444</v>
      </c>
      <c r="F1331" s="3">
        <v>1</v>
      </c>
      <c r="G1331" s="3"/>
      <c r="H1331" s="3" t="s">
        <v>9446</v>
      </c>
      <c r="I1331" s="3"/>
      <c r="J1331" s="3"/>
      <c r="K1331" s="3" t="s">
        <v>7737</v>
      </c>
      <c r="L1331" s="4"/>
      <c r="M1331" s="3" t="s">
        <v>9445</v>
      </c>
      <c r="T1331" s="3" t="s">
        <v>7739</v>
      </c>
      <c r="V1331" s="3"/>
      <c r="W1331" s="3"/>
      <c r="X1331" s="5" t="s">
        <v>7742</v>
      </c>
      <c r="Y1331" s="5"/>
      <c r="Z1331" s="3">
        <v>0</v>
      </c>
      <c r="AA1331" s="3" t="s">
        <v>9237</v>
      </c>
      <c r="AB1331" s="4"/>
      <c r="AE1331" s="3"/>
      <c r="AF1331" s="4"/>
      <c r="AG1331" s="4"/>
      <c r="AH1331" s="4"/>
      <c r="AI1331" s="4"/>
      <c r="AJ1331" s="4"/>
      <c r="AK1331" s="3"/>
      <c r="AL1331" s="7"/>
      <c r="AM1331" s="3"/>
      <c r="AN1331" s="3"/>
      <c r="AO1331" s="4"/>
      <c r="AP1331" s="4"/>
      <c r="AQ1331" s="4"/>
      <c r="AR1331" s="4"/>
      <c r="AS1331" s="4"/>
      <c r="AT1331" s="4"/>
      <c r="AU1331" s="3"/>
      <c r="AV1331" s="4"/>
      <c r="AW1331" s="4"/>
      <c r="AX1331" s="4"/>
      <c r="AY1331" s="4"/>
      <c r="AZ1331" s="4"/>
      <c r="BA1331" s="4"/>
      <c r="BB1331" s="4"/>
      <c r="BC1331" s="4"/>
      <c r="BD1331" s="4"/>
      <c r="BE1331" s="4"/>
      <c r="BF1331" s="3"/>
      <c r="BG1331" s="3"/>
      <c r="BH1331" s="3"/>
      <c r="BI1331" s="4"/>
      <c r="BJ1331" s="3"/>
      <c r="BK1331" s="4"/>
      <c r="BL1331" s="4"/>
      <c r="BM1331" s="4"/>
      <c r="BN1331" s="3"/>
      <c r="BO1331" s="4"/>
      <c r="BP1331" s="4"/>
      <c r="BQ1331" s="4"/>
      <c r="BR1331" s="4"/>
      <c r="BS1331" s="4"/>
      <c r="BT1331" s="4"/>
      <c r="BU1331" s="4"/>
      <c r="BV1331" s="4"/>
      <c r="BW1331" s="4"/>
      <c r="BX1331" s="4"/>
      <c r="BY1331" s="4"/>
      <c r="BZ1331" s="4"/>
      <c r="CA1331" s="4"/>
      <c r="CB1331" s="4"/>
      <c r="CC1331" s="4"/>
      <c r="CD1331" s="4"/>
      <c r="CE1331" s="4"/>
      <c r="CF1331" s="4"/>
      <c r="CG1331" s="4"/>
      <c r="CH1331" s="4"/>
      <c r="CI1331" s="4"/>
      <c r="CJ1331" s="4"/>
      <c r="CK1331" s="4"/>
      <c r="CL1331" s="4"/>
      <c r="CM1331" s="4"/>
      <c r="CN1331" s="4"/>
      <c r="CO1331" s="4"/>
      <c r="CP1331" s="4"/>
      <c r="CQ1331" s="4"/>
      <c r="CR1331" s="4"/>
      <c r="CS1331" s="4"/>
      <c r="CT1331" s="4"/>
      <c r="CU1331" s="4"/>
      <c r="CV1331" s="4"/>
      <c r="CW1331" s="4"/>
      <c r="CX1331" s="4"/>
      <c r="CY1331" s="4"/>
      <c r="CZ1331" s="4"/>
      <c r="DA1331" s="4"/>
      <c r="DB1331" s="4"/>
      <c r="DC1331" s="4"/>
      <c r="DD1331" s="4"/>
      <c r="DE1331" s="4"/>
      <c r="DF1331" s="4"/>
      <c r="DG1331" s="4"/>
      <c r="DH1331" s="4"/>
      <c r="DI1331" s="4"/>
      <c r="DJ1331" s="3"/>
      <c r="DK1331" s="3"/>
      <c r="DL1331" s="4"/>
      <c r="DM1331" s="4"/>
      <c r="DN1331" s="4"/>
      <c r="DO1331" s="4"/>
      <c r="DP1331" s="4"/>
      <c r="DQ1331" s="4"/>
      <c r="DR1331" s="4"/>
      <c r="DS1331" s="4"/>
      <c r="DT1331" s="4"/>
      <c r="DU1331" s="4"/>
      <c r="DV1331" s="4"/>
      <c r="DW1331" s="4"/>
      <c r="DX1331" s="4"/>
      <c r="DY1331" s="4"/>
      <c r="DZ1331" s="4"/>
      <c r="EA1331" s="4"/>
      <c r="EB1331" s="4"/>
      <c r="EC1331" s="4"/>
      <c r="ED1331" s="4"/>
      <c r="EE1331" s="4"/>
      <c r="EF1331" s="4"/>
      <c r="EG1331" s="4"/>
      <c r="EH1331" s="4"/>
      <c r="EI1331" s="4"/>
      <c r="EJ1331" s="4"/>
      <c r="EK1331" s="4"/>
      <c r="EL1331" s="4"/>
      <c r="EM1331" s="4"/>
      <c r="EN1331" s="4"/>
      <c r="EO1331" s="4"/>
      <c r="EP1331" s="4"/>
      <c r="EQ1331" s="4"/>
      <c r="ER1331" s="4"/>
      <c r="ES1331" s="4"/>
      <c r="ET1331" s="4"/>
      <c r="EU1331" s="4"/>
      <c r="EV1331" s="4"/>
      <c r="EW1331" s="4"/>
    </row>
    <row r="1332" spans="1:153" hidden="1">
      <c r="A1332" s="11" t="s">
        <v>9940</v>
      </c>
      <c r="B1332" s="3" t="s">
        <v>8373</v>
      </c>
      <c r="C1332" s="3">
        <v>1997</v>
      </c>
      <c r="D1332" s="3" t="s">
        <v>9447</v>
      </c>
      <c r="E1332" s="3" t="s">
        <v>9448</v>
      </c>
      <c r="F1332" s="3">
        <v>1</v>
      </c>
      <c r="G1332" s="3"/>
      <c r="H1332" s="3" t="s">
        <v>9451</v>
      </c>
      <c r="I1332" s="3"/>
      <c r="J1332" s="3"/>
      <c r="K1332" s="3" t="s">
        <v>93</v>
      </c>
      <c r="L1332" s="4"/>
      <c r="M1332" s="3" t="s">
        <v>8511</v>
      </c>
      <c r="T1332" s="3" t="s">
        <v>9449</v>
      </c>
      <c r="V1332" s="3"/>
      <c r="W1332" s="3"/>
      <c r="X1332" s="5" t="s">
        <v>9450</v>
      </c>
      <c r="Y1332" s="5"/>
      <c r="Z1332" s="3">
        <v>0</v>
      </c>
      <c r="AA1332" s="3" t="s">
        <v>9265</v>
      </c>
      <c r="AB1332" s="3"/>
      <c r="AE1332" s="3"/>
      <c r="AF1332" s="4"/>
      <c r="AG1332" s="4"/>
      <c r="AH1332" s="4"/>
      <c r="AI1332" s="4"/>
      <c r="AJ1332" s="4"/>
      <c r="AK1332" s="3"/>
      <c r="AL1332" s="3"/>
      <c r="AM1332" s="3"/>
      <c r="AN1332" s="3"/>
      <c r="AO1332" s="4"/>
      <c r="AP1332" s="3"/>
      <c r="AQ1332" s="4"/>
      <c r="AR1332" s="3"/>
      <c r="AS1332" s="3"/>
      <c r="AT1332" s="4"/>
      <c r="AU1332" s="3"/>
      <c r="AV1332" s="4"/>
      <c r="AW1332" s="4"/>
      <c r="AX1332" s="4"/>
      <c r="AY1332" s="4"/>
      <c r="AZ1332" s="4"/>
      <c r="BA1332" s="4"/>
      <c r="BB1332" s="4"/>
      <c r="BC1332" s="4"/>
      <c r="BD1332" s="4"/>
      <c r="BE1332" s="4"/>
      <c r="BF1332" s="3"/>
      <c r="BG1332" s="3"/>
      <c r="BH1332" s="3"/>
      <c r="BI1332" s="4"/>
      <c r="BJ1332" s="3"/>
      <c r="BK1332" s="4"/>
      <c r="BL1332" s="4"/>
      <c r="BM1332" s="3"/>
      <c r="BN1332" s="4"/>
      <c r="BO1332" s="4"/>
      <c r="BP1332" s="4"/>
      <c r="BQ1332" s="4"/>
      <c r="BR1332" s="4"/>
      <c r="BS1332" s="4"/>
      <c r="BT1332" s="4"/>
      <c r="BU1332" s="4"/>
      <c r="BV1332" s="4"/>
      <c r="BW1332" s="4"/>
      <c r="BX1332" s="4"/>
      <c r="BY1332" s="4"/>
      <c r="BZ1332" s="4"/>
      <c r="CA1332" s="4"/>
      <c r="CB1332" s="4"/>
      <c r="CC1332" s="4"/>
      <c r="CD1332" s="4"/>
      <c r="CE1332" s="4"/>
      <c r="CF1332" s="4"/>
      <c r="CG1332" s="4"/>
      <c r="CH1332" s="4"/>
      <c r="CI1332" s="4"/>
      <c r="CJ1332" s="4"/>
      <c r="CK1332" s="4"/>
      <c r="CL1332" s="3"/>
      <c r="CM1332" s="3"/>
      <c r="CN1332" s="4"/>
      <c r="CO1332" s="4"/>
      <c r="CP1332" s="4"/>
      <c r="CQ1332" s="4"/>
      <c r="CR1332" s="4"/>
      <c r="CS1332" s="4"/>
      <c r="CT1332" s="4"/>
      <c r="CU1332" s="4"/>
      <c r="CV1332" s="4"/>
      <c r="CW1332" s="4"/>
      <c r="CX1332" s="4"/>
      <c r="CY1332" s="4"/>
      <c r="CZ1332" s="4"/>
      <c r="DA1332" s="4"/>
      <c r="DB1332" s="4"/>
      <c r="DC1332" s="4"/>
      <c r="DD1332" s="4"/>
      <c r="DE1332" s="4"/>
      <c r="DF1332" s="4"/>
      <c r="DG1332" s="4"/>
      <c r="DH1332" s="4"/>
      <c r="DI1332" s="4"/>
      <c r="DJ1332" s="4"/>
      <c r="DK1332" s="4"/>
      <c r="DL1332" s="4"/>
      <c r="DM1332" s="4"/>
      <c r="DN1332" s="4"/>
      <c r="DO1332" s="4"/>
      <c r="DP1332" s="4"/>
      <c r="DQ1332" s="4"/>
      <c r="DR1332" s="4"/>
      <c r="DS1332" s="4"/>
      <c r="DT1332" s="4"/>
      <c r="DU1332" s="4"/>
      <c r="DV1332" s="4"/>
      <c r="DW1332" s="4"/>
      <c r="DX1332" s="4"/>
      <c r="DY1332" s="4"/>
    </row>
    <row r="1333" spans="1:153" hidden="1">
      <c r="A1333" s="11" t="s">
        <v>9940</v>
      </c>
      <c r="B1333" s="3" t="s">
        <v>8386</v>
      </c>
      <c r="C1333" s="3">
        <v>2010</v>
      </c>
      <c r="D1333" s="3" t="s">
        <v>7258</v>
      </c>
      <c r="E1333" s="3" t="s">
        <v>9452</v>
      </c>
      <c r="F1333" s="3">
        <v>1</v>
      </c>
      <c r="G1333" s="3"/>
      <c r="H1333" s="3" t="s">
        <v>7261</v>
      </c>
      <c r="I1333" s="3"/>
      <c r="J1333" s="3"/>
      <c r="K1333" s="3" t="s">
        <v>3209</v>
      </c>
      <c r="L1333" s="3" t="s">
        <v>9453</v>
      </c>
      <c r="M1333" s="4"/>
      <c r="T1333" s="4"/>
      <c r="V1333" s="3"/>
      <c r="W1333" s="3"/>
      <c r="X1333" s="5" t="s">
        <v>7262</v>
      </c>
      <c r="Y1333" s="5"/>
      <c r="Z1333" s="3">
        <v>0</v>
      </c>
      <c r="AA1333" s="3" t="s">
        <v>9237</v>
      </c>
      <c r="AB1333" s="4"/>
      <c r="AE1333" s="3"/>
      <c r="AF1333" s="4"/>
      <c r="AG1333" s="4"/>
      <c r="AH1333" s="4"/>
      <c r="AI1333" s="4"/>
      <c r="AJ1333" s="4"/>
      <c r="AK1333" s="3"/>
      <c r="AL1333" s="3"/>
      <c r="AM1333" s="3"/>
      <c r="AN1333" s="3"/>
      <c r="AO1333" s="4"/>
      <c r="AP1333" s="3"/>
      <c r="AQ1333" s="4"/>
      <c r="AR1333" s="4"/>
      <c r="AS1333" s="4"/>
      <c r="AT1333" s="4"/>
      <c r="AU1333" s="4"/>
      <c r="AV1333" s="4"/>
      <c r="AW1333" s="4"/>
      <c r="AX1333" s="4"/>
      <c r="AY1333" s="4"/>
      <c r="AZ1333" s="4"/>
      <c r="BA1333" s="3"/>
      <c r="BB1333" s="3"/>
      <c r="BC1333" s="4"/>
      <c r="BD1333" s="4"/>
      <c r="BE1333" s="3"/>
      <c r="BF1333" s="3"/>
      <c r="BG1333" s="3"/>
      <c r="BH1333" s="4"/>
      <c r="BI1333" s="4"/>
      <c r="BJ1333" s="4"/>
      <c r="BK1333" s="4"/>
      <c r="BL1333" s="4"/>
      <c r="BM1333" s="3"/>
      <c r="BN1333" s="3"/>
      <c r="BO1333" s="4"/>
      <c r="BP1333" s="4"/>
      <c r="BQ1333" s="4"/>
      <c r="BR1333" s="4"/>
      <c r="BS1333" s="4"/>
      <c r="BT1333" s="4"/>
      <c r="BU1333" s="4"/>
      <c r="BV1333" s="4"/>
      <c r="BW1333" s="4"/>
      <c r="BX1333" s="4"/>
      <c r="BY1333" s="4"/>
      <c r="BZ1333" s="4"/>
      <c r="CA1333" s="4"/>
      <c r="CB1333" s="4"/>
      <c r="CC1333" s="4"/>
      <c r="CD1333" s="4"/>
      <c r="CE1333" s="4"/>
      <c r="CF1333" s="4"/>
      <c r="CG1333" s="4"/>
      <c r="CH1333" s="4"/>
      <c r="CI1333" s="4"/>
      <c r="CJ1333" s="4"/>
      <c r="CK1333" s="4"/>
      <c r="CL1333" s="4"/>
      <c r="CM1333" s="4"/>
      <c r="CN1333" s="4"/>
      <c r="CO1333" s="4"/>
      <c r="CP1333" s="4"/>
      <c r="CQ1333" s="4"/>
      <c r="CR1333" s="4"/>
      <c r="CS1333" s="4"/>
      <c r="CT1333" s="4"/>
      <c r="CU1333" s="4"/>
      <c r="CV1333" s="4"/>
      <c r="CW1333" s="4"/>
      <c r="CX1333" s="4"/>
      <c r="CY1333" s="4"/>
      <c r="CZ1333" s="4"/>
      <c r="DA1333" s="4"/>
      <c r="DB1333" s="4"/>
      <c r="DC1333" s="4"/>
      <c r="DD1333" s="4"/>
      <c r="DE1333" s="4"/>
      <c r="DF1333" s="3"/>
      <c r="DG1333" s="3"/>
      <c r="DH1333" s="4"/>
      <c r="DI1333" s="4"/>
      <c r="DJ1333" s="4"/>
      <c r="DK1333" s="4"/>
      <c r="DL1333" s="4"/>
      <c r="DM1333" s="4"/>
      <c r="DN1333" s="4"/>
      <c r="DO1333" s="4"/>
      <c r="DP1333" s="4"/>
      <c r="DQ1333" s="4"/>
      <c r="DR1333" s="4"/>
      <c r="DS1333" s="4"/>
      <c r="DT1333" s="4"/>
      <c r="DU1333" s="4"/>
      <c r="DV1333" s="4"/>
      <c r="DW1333" s="4"/>
      <c r="DX1333" s="4"/>
      <c r="DY1333" s="4"/>
      <c r="DZ1333" s="4"/>
      <c r="EA1333" s="4"/>
      <c r="EB1333" s="4"/>
      <c r="EC1333" s="4"/>
      <c r="ED1333" s="4"/>
      <c r="EE1333" s="4"/>
      <c r="EF1333" s="4"/>
      <c r="EG1333" s="4"/>
      <c r="EH1333" s="4"/>
      <c r="EI1333" s="4"/>
      <c r="EJ1333" s="4"/>
      <c r="EK1333" s="4"/>
      <c r="EL1333" s="4"/>
      <c r="EM1333" s="4"/>
      <c r="EN1333" s="4"/>
      <c r="EO1333" s="4"/>
      <c r="EP1333" s="4"/>
      <c r="EQ1333" s="4"/>
      <c r="ER1333" s="4"/>
      <c r="ES1333" s="4"/>
    </row>
    <row r="1334" spans="1:153" hidden="1">
      <c r="A1334" s="11" t="s">
        <v>9940</v>
      </c>
      <c r="B1334" s="3" t="s">
        <v>8373</v>
      </c>
      <c r="C1334" s="3">
        <v>2012</v>
      </c>
      <c r="D1334" s="3" t="s">
        <v>5015</v>
      </c>
      <c r="E1334" s="3" t="s">
        <v>9454</v>
      </c>
      <c r="F1334" s="3">
        <v>1</v>
      </c>
      <c r="G1334" s="3"/>
      <c r="H1334" s="3" t="s">
        <v>9455</v>
      </c>
      <c r="I1334" s="3"/>
      <c r="J1334" s="3"/>
      <c r="K1334" s="3" t="s">
        <v>132</v>
      </c>
      <c r="L1334" s="4"/>
      <c r="M1334" s="3" t="s">
        <v>8382</v>
      </c>
      <c r="T1334" s="3" t="s">
        <v>5017</v>
      </c>
      <c r="V1334" s="3"/>
      <c r="W1334" s="3"/>
      <c r="X1334" s="5" t="s">
        <v>5020</v>
      </c>
      <c r="Y1334" s="5"/>
      <c r="Z1334" s="3">
        <v>0</v>
      </c>
      <c r="AA1334" s="3" t="s">
        <v>9237</v>
      </c>
      <c r="AB1334" s="3"/>
      <c r="AE1334" s="3"/>
      <c r="AF1334" s="4"/>
      <c r="AG1334" s="4"/>
      <c r="AH1334" s="4"/>
      <c r="AI1334" s="4"/>
      <c r="AJ1334" s="4"/>
      <c r="AK1334" s="3"/>
      <c r="AL1334" s="3"/>
      <c r="AM1334" s="3"/>
      <c r="AN1334" s="3"/>
      <c r="AO1334" s="4"/>
      <c r="AP1334" s="3"/>
      <c r="AQ1334" s="4"/>
      <c r="AR1334" s="3"/>
      <c r="AS1334" s="3"/>
      <c r="AT1334" s="4"/>
      <c r="AU1334" s="3"/>
      <c r="AV1334" s="4"/>
      <c r="AW1334" s="4"/>
      <c r="AX1334" s="4"/>
      <c r="AY1334" s="4"/>
      <c r="AZ1334" s="4"/>
      <c r="BA1334" s="4"/>
      <c r="BB1334" s="4"/>
      <c r="BC1334" s="4"/>
      <c r="BD1334" s="4"/>
      <c r="BE1334" s="4"/>
      <c r="BF1334" s="3"/>
      <c r="BG1334" s="3"/>
      <c r="BH1334" s="3"/>
      <c r="BI1334" s="4"/>
      <c r="BJ1334" s="3"/>
      <c r="BK1334" s="4"/>
      <c r="BL1334" s="4"/>
      <c r="BM1334" s="3"/>
      <c r="BN1334" s="4"/>
      <c r="BO1334" s="4"/>
      <c r="BP1334" s="4"/>
      <c r="BQ1334" s="4"/>
      <c r="BR1334" s="4"/>
      <c r="BS1334" s="4"/>
      <c r="BT1334" s="4"/>
      <c r="BU1334" s="4"/>
      <c r="BV1334" s="4"/>
      <c r="BW1334" s="4"/>
      <c r="BX1334" s="4"/>
      <c r="BY1334" s="4"/>
      <c r="BZ1334" s="4"/>
      <c r="CA1334" s="4"/>
      <c r="CB1334" s="4"/>
      <c r="CC1334" s="4"/>
      <c r="CD1334" s="4"/>
      <c r="CE1334" s="4"/>
      <c r="CF1334" s="4"/>
      <c r="CG1334" s="4"/>
      <c r="CH1334" s="4"/>
      <c r="CI1334" s="4"/>
      <c r="CJ1334" s="4"/>
      <c r="CK1334" s="4"/>
      <c r="CL1334" s="4"/>
      <c r="CM1334" s="4"/>
      <c r="CN1334" s="4"/>
      <c r="CO1334" s="4"/>
      <c r="CP1334" s="4"/>
      <c r="CQ1334" s="4"/>
      <c r="CR1334" s="4"/>
      <c r="CS1334" s="4"/>
      <c r="CT1334" s="4"/>
      <c r="CU1334" s="4"/>
      <c r="CV1334" s="4"/>
      <c r="CW1334" s="4"/>
      <c r="CX1334" s="4"/>
      <c r="CY1334" s="4"/>
      <c r="CZ1334" s="3"/>
      <c r="DA1334" s="3"/>
      <c r="DB1334" s="4"/>
      <c r="DC1334" s="4"/>
      <c r="DD1334" s="4"/>
      <c r="DE1334" s="4"/>
      <c r="DF1334" s="4"/>
      <c r="DG1334" s="4"/>
      <c r="DH1334" s="4"/>
      <c r="DI1334" s="4"/>
      <c r="DJ1334" s="4"/>
      <c r="DK1334" s="4"/>
      <c r="DL1334" s="4"/>
      <c r="DM1334" s="4"/>
      <c r="DN1334" s="4"/>
      <c r="DO1334" s="4"/>
      <c r="DP1334" s="4"/>
      <c r="DQ1334" s="4"/>
      <c r="DR1334" s="4"/>
      <c r="DS1334" s="4"/>
      <c r="DT1334" s="4"/>
      <c r="DU1334" s="4"/>
      <c r="DV1334" s="4"/>
      <c r="DW1334" s="4"/>
      <c r="DX1334" s="4"/>
      <c r="DY1334" s="4"/>
      <c r="DZ1334" s="4"/>
      <c r="EA1334" s="4"/>
      <c r="EB1334" s="4"/>
      <c r="EC1334" s="4"/>
      <c r="ED1334" s="4"/>
      <c r="EE1334" s="4"/>
      <c r="EF1334" s="4"/>
      <c r="EG1334" s="4"/>
      <c r="EH1334" s="4"/>
      <c r="EI1334" s="4"/>
      <c r="EJ1334" s="4"/>
      <c r="EK1334" s="4"/>
      <c r="EL1334" s="4"/>
      <c r="EM1334" s="4"/>
    </row>
    <row r="1335" spans="1:153" hidden="1">
      <c r="A1335" s="11" t="s">
        <v>9940</v>
      </c>
      <c r="B1335" s="3" t="s">
        <v>8373</v>
      </c>
      <c r="C1335" s="3">
        <v>2009</v>
      </c>
      <c r="D1335" s="3" t="s">
        <v>1088</v>
      </c>
      <c r="E1335" s="3" t="s">
        <v>8738</v>
      </c>
      <c r="F1335" s="3">
        <v>1</v>
      </c>
      <c r="G1335" s="3"/>
      <c r="H1335" s="3" t="s">
        <v>8739</v>
      </c>
      <c r="I1335" s="3"/>
      <c r="J1335" s="3"/>
      <c r="K1335" s="3" t="s">
        <v>132</v>
      </c>
      <c r="L1335" s="4"/>
      <c r="M1335" s="3" t="s">
        <v>8382</v>
      </c>
      <c r="T1335" s="3" t="s">
        <v>1090</v>
      </c>
      <c r="V1335" s="3"/>
      <c r="W1335" s="4"/>
      <c r="X1335" s="5" t="s">
        <v>1093</v>
      </c>
      <c r="Y1335" s="5"/>
      <c r="Z1335" s="3">
        <v>1</v>
      </c>
      <c r="AA1335" s="4"/>
      <c r="AB1335" s="4"/>
      <c r="AE1335" s="3"/>
      <c r="AF1335" s="3"/>
      <c r="AG1335" s="4"/>
      <c r="AH1335" s="4"/>
      <c r="AI1335" s="4"/>
      <c r="AJ1335" s="4"/>
      <c r="AK1335" s="3"/>
      <c r="AL1335" s="3"/>
      <c r="AM1335" s="3"/>
      <c r="AN1335" s="3"/>
      <c r="AO1335" s="4"/>
      <c r="AP1335" s="3"/>
      <c r="AQ1335" s="4"/>
      <c r="AR1335" s="3"/>
      <c r="AS1335" s="3"/>
      <c r="AT1335" s="4"/>
      <c r="AU1335" s="3"/>
      <c r="AV1335" s="4"/>
      <c r="AW1335" s="4"/>
      <c r="AX1335" s="4"/>
      <c r="AY1335" s="4"/>
      <c r="AZ1335" s="4"/>
      <c r="BA1335" s="4"/>
      <c r="BB1335" s="4"/>
      <c r="BC1335" s="4"/>
      <c r="BD1335" s="4"/>
      <c r="BE1335" s="4"/>
      <c r="BF1335" s="3"/>
      <c r="BG1335" s="3"/>
      <c r="BH1335" s="3"/>
      <c r="BI1335" s="4"/>
      <c r="BJ1335" s="3"/>
      <c r="BK1335" s="4"/>
      <c r="BL1335" s="4"/>
      <c r="BM1335" s="3"/>
      <c r="BN1335" s="4"/>
      <c r="BO1335" s="4"/>
      <c r="BP1335" s="4"/>
      <c r="BQ1335" s="4"/>
      <c r="BR1335" s="4"/>
      <c r="BS1335" s="4"/>
      <c r="BT1335" s="4"/>
      <c r="BU1335" s="4"/>
      <c r="BV1335" s="4"/>
      <c r="BW1335" s="4"/>
      <c r="BX1335" s="4"/>
      <c r="BY1335" s="4"/>
      <c r="BZ1335" s="4"/>
      <c r="CA1335" s="4"/>
      <c r="CB1335" s="4"/>
      <c r="CC1335" s="4"/>
      <c r="CD1335" s="4"/>
      <c r="CE1335" s="4"/>
      <c r="CF1335" s="4"/>
      <c r="CG1335" s="4"/>
      <c r="CH1335" s="4"/>
      <c r="CI1335" s="4"/>
      <c r="CJ1335" s="4"/>
      <c r="CK1335" s="4"/>
      <c r="CL1335" s="4"/>
      <c r="CM1335" s="4"/>
      <c r="CN1335" s="4"/>
      <c r="CO1335" s="4"/>
      <c r="CP1335" s="4"/>
      <c r="CQ1335" s="4"/>
      <c r="CR1335" s="4"/>
      <c r="CS1335" s="4"/>
      <c r="CT1335" s="4"/>
      <c r="CU1335" s="4"/>
      <c r="CV1335" s="4"/>
      <c r="CW1335" s="4"/>
      <c r="CX1335" s="4"/>
      <c r="CY1335" s="4"/>
      <c r="CZ1335" s="4"/>
      <c r="DA1335" s="4"/>
      <c r="DB1335" s="4"/>
      <c r="DC1335" s="4"/>
      <c r="DD1335" s="4"/>
      <c r="DE1335" s="4"/>
      <c r="DF1335" s="3"/>
      <c r="DG1335" s="3"/>
      <c r="DH1335" s="8"/>
      <c r="DI1335" s="4"/>
      <c r="DJ1335" s="4"/>
      <c r="DK1335" s="4"/>
      <c r="DL1335" s="4"/>
      <c r="DM1335" s="8"/>
      <c r="DN1335" s="8"/>
      <c r="DO1335" s="8"/>
      <c r="DP1335" s="8"/>
      <c r="DQ1335" s="4"/>
      <c r="DR1335" s="4"/>
      <c r="DS1335" s="4"/>
      <c r="DT1335" s="4"/>
      <c r="DU1335" s="4"/>
      <c r="DV1335" s="4"/>
      <c r="DW1335" s="4"/>
      <c r="DX1335" s="4"/>
      <c r="DY1335" s="4"/>
      <c r="DZ1335" s="4"/>
      <c r="EA1335" s="4"/>
      <c r="EB1335" s="4"/>
      <c r="EC1335" s="4"/>
      <c r="ED1335" s="4"/>
      <c r="EE1335" s="4"/>
      <c r="EF1335" s="4"/>
      <c r="EG1335" s="4"/>
      <c r="EH1335" s="4"/>
      <c r="EI1335" s="4"/>
      <c r="EJ1335" s="4"/>
      <c r="EK1335" s="8"/>
      <c r="EL1335" s="8"/>
      <c r="EM1335" s="8"/>
      <c r="EN1335" s="8"/>
      <c r="EO1335" s="8"/>
      <c r="EP1335" s="8"/>
      <c r="EQ1335" s="4"/>
      <c r="ER1335" s="4"/>
      <c r="ES1335" s="4"/>
    </row>
    <row r="1336" spans="1:153" hidden="1">
      <c r="A1336" s="11" t="s">
        <v>9940</v>
      </c>
      <c r="B1336" s="3" t="s">
        <v>8373</v>
      </c>
      <c r="C1336" s="3">
        <v>2008</v>
      </c>
      <c r="D1336" s="3" t="s">
        <v>4890</v>
      </c>
      <c r="E1336" s="3" t="s">
        <v>8740</v>
      </c>
      <c r="F1336" s="3">
        <v>1</v>
      </c>
      <c r="G1336" s="3"/>
      <c r="H1336" s="3" t="s">
        <v>4894</v>
      </c>
      <c r="I1336" s="3"/>
      <c r="J1336" s="3"/>
      <c r="K1336" s="3" t="s">
        <v>93</v>
      </c>
      <c r="L1336" s="4"/>
      <c r="M1336" s="3" t="s">
        <v>8511</v>
      </c>
      <c r="T1336" s="3" t="s">
        <v>4892</v>
      </c>
      <c r="V1336" s="3"/>
      <c r="W1336" s="3"/>
      <c r="X1336" s="5" t="s">
        <v>4895</v>
      </c>
      <c r="Y1336" s="5"/>
      <c r="Z1336" s="3">
        <v>1</v>
      </c>
      <c r="AA1336" s="4"/>
      <c r="AB1336" s="4"/>
      <c r="AE1336" s="3"/>
      <c r="AF1336" s="3"/>
      <c r="AG1336" s="4"/>
      <c r="AH1336" s="4"/>
      <c r="AI1336" s="4"/>
      <c r="AJ1336" s="4"/>
      <c r="AK1336" s="3"/>
      <c r="AL1336" s="3"/>
      <c r="AM1336" s="3"/>
      <c r="AN1336" s="3"/>
      <c r="AO1336" s="4"/>
      <c r="AP1336" s="3"/>
      <c r="AQ1336" s="4"/>
      <c r="AR1336" s="3"/>
      <c r="AS1336" s="3"/>
      <c r="AT1336" s="4"/>
      <c r="AU1336" s="3"/>
      <c r="AV1336" s="4"/>
      <c r="AW1336" s="4"/>
      <c r="AX1336" s="4"/>
      <c r="AY1336" s="4"/>
      <c r="AZ1336" s="4"/>
      <c r="BA1336" s="4"/>
      <c r="BB1336" s="4"/>
      <c r="BC1336" s="4"/>
      <c r="BD1336" s="4"/>
      <c r="BE1336" s="4"/>
      <c r="BF1336" s="3"/>
      <c r="BG1336" s="3"/>
      <c r="BH1336" s="3"/>
      <c r="BI1336" s="4"/>
      <c r="BJ1336" s="3"/>
      <c r="BK1336" s="4"/>
      <c r="BL1336" s="4"/>
      <c r="BM1336" s="3"/>
      <c r="BN1336" s="4"/>
      <c r="BO1336" s="4"/>
      <c r="BP1336" s="4"/>
      <c r="BQ1336" s="4"/>
      <c r="BR1336" s="4"/>
      <c r="BS1336" s="4"/>
      <c r="BT1336" s="4"/>
      <c r="BU1336" s="4"/>
      <c r="BV1336" s="4"/>
      <c r="BW1336" s="4"/>
      <c r="BX1336" s="4"/>
      <c r="BY1336" s="4"/>
      <c r="BZ1336" s="4"/>
      <c r="CA1336" s="4"/>
      <c r="CB1336" s="4"/>
      <c r="CC1336" s="4"/>
      <c r="CD1336" s="4"/>
      <c r="CE1336" s="4"/>
      <c r="CF1336" s="4"/>
      <c r="CG1336" s="4"/>
      <c r="CH1336" s="4"/>
      <c r="CI1336" s="4"/>
      <c r="CJ1336" s="4"/>
      <c r="CK1336" s="4"/>
      <c r="CL1336" s="4"/>
      <c r="CM1336" s="4"/>
      <c r="CN1336" s="4"/>
      <c r="CO1336" s="4"/>
      <c r="CP1336" s="4"/>
      <c r="CQ1336" s="4"/>
      <c r="CR1336" s="4"/>
      <c r="CS1336" s="3"/>
      <c r="CT1336" s="3"/>
      <c r="CU1336" s="8"/>
      <c r="CV1336" s="4"/>
      <c r="CW1336" s="4"/>
      <c r="CX1336" s="4"/>
      <c r="CY1336" s="4"/>
      <c r="CZ1336" s="8"/>
      <c r="DA1336" s="8"/>
      <c r="DB1336" s="8"/>
      <c r="DC1336" s="8"/>
      <c r="DD1336" s="4"/>
      <c r="DE1336" s="4"/>
      <c r="DF1336" s="4"/>
      <c r="DG1336" s="4"/>
      <c r="DH1336" s="4"/>
      <c r="DI1336" s="4"/>
      <c r="DJ1336" s="4"/>
      <c r="DK1336" s="4"/>
      <c r="DL1336" s="4"/>
      <c r="DM1336" s="4"/>
      <c r="DN1336" s="4"/>
      <c r="DO1336" s="4"/>
      <c r="DP1336" s="4"/>
      <c r="DQ1336" s="4"/>
      <c r="DR1336" s="4"/>
      <c r="DS1336" s="4"/>
      <c r="DT1336" s="4"/>
      <c r="DU1336" s="4"/>
      <c r="DV1336" s="4"/>
      <c r="DW1336" s="4"/>
      <c r="DX1336" s="8"/>
      <c r="DY1336" s="8"/>
      <c r="DZ1336" s="8"/>
      <c r="EA1336" s="8"/>
      <c r="EB1336" s="8"/>
      <c r="EC1336" s="8"/>
      <c r="ED1336" s="4"/>
      <c r="EE1336" s="4"/>
      <c r="EF1336" s="4"/>
    </row>
    <row r="1337" spans="1:153" hidden="1">
      <c r="A1337" s="11" t="s">
        <v>9940</v>
      </c>
      <c r="B1337" s="3" t="s">
        <v>8386</v>
      </c>
      <c r="C1337" s="3">
        <v>1999</v>
      </c>
      <c r="D1337" s="3" t="s">
        <v>9456</v>
      </c>
      <c r="E1337" s="3" t="s">
        <v>9457</v>
      </c>
      <c r="F1337" s="3">
        <v>1</v>
      </c>
      <c r="G1337" s="3"/>
      <c r="H1337" s="3" t="s">
        <v>9461</v>
      </c>
      <c r="I1337" s="3"/>
      <c r="J1337" s="3"/>
      <c r="K1337" s="3" t="s">
        <v>9458</v>
      </c>
      <c r="L1337" s="3" t="s">
        <v>9459</v>
      </c>
      <c r="M1337" s="4"/>
      <c r="T1337" s="4"/>
      <c r="V1337" s="3"/>
      <c r="W1337" s="3"/>
      <c r="X1337" s="5" t="s">
        <v>9460</v>
      </c>
      <c r="Y1337" s="5"/>
      <c r="Z1337" s="3">
        <v>0</v>
      </c>
      <c r="AA1337" s="3" t="s">
        <v>9178</v>
      </c>
      <c r="AB1337" s="4"/>
      <c r="AE1337" s="3"/>
      <c r="AF1337" s="3"/>
      <c r="AG1337" s="4"/>
      <c r="AH1337" s="3"/>
      <c r="AI1337" s="4"/>
      <c r="AJ1337" s="4"/>
      <c r="AK1337" s="3"/>
      <c r="AL1337" s="3"/>
      <c r="AM1337" s="3"/>
      <c r="AN1337" s="3"/>
      <c r="AO1337" s="4"/>
      <c r="AP1337" s="3"/>
      <c r="AQ1337" s="4"/>
      <c r="AR1337" s="4"/>
      <c r="AS1337" s="4"/>
      <c r="AT1337" s="4"/>
      <c r="AU1337" s="4"/>
      <c r="AV1337" s="4"/>
      <c r="AW1337" s="4"/>
      <c r="AX1337" s="4"/>
      <c r="AY1337" s="4"/>
      <c r="AZ1337" s="4"/>
      <c r="BA1337" s="3"/>
      <c r="BB1337" s="3"/>
      <c r="BC1337" s="4"/>
      <c r="BD1337" s="4"/>
      <c r="BE1337" s="4"/>
      <c r="BF1337" s="3"/>
      <c r="BG1337" s="3"/>
      <c r="BH1337" s="3"/>
      <c r="BI1337" s="4"/>
      <c r="BJ1337" s="4"/>
      <c r="BK1337" s="4"/>
      <c r="BL1337" s="4"/>
      <c r="BM1337" s="4"/>
      <c r="BN1337" s="3"/>
      <c r="BO1337" s="3"/>
      <c r="BP1337" s="4"/>
      <c r="BQ1337" s="4"/>
      <c r="BR1337" s="4"/>
      <c r="BS1337" s="4"/>
      <c r="BT1337" s="4"/>
      <c r="BU1337" s="4"/>
      <c r="BV1337" s="4"/>
      <c r="BW1337" s="4"/>
      <c r="BX1337" s="4"/>
      <c r="BY1337" s="4"/>
      <c r="BZ1337" s="4"/>
      <c r="CA1337" s="4"/>
      <c r="CB1337" s="4"/>
      <c r="CC1337" s="4"/>
      <c r="CD1337" s="4"/>
      <c r="CE1337" s="4"/>
      <c r="CF1337" s="4"/>
      <c r="CG1337" s="4"/>
      <c r="CH1337" s="4"/>
      <c r="CI1337" s="4"/>
      <c r="CJ1337" s="4"/>
      <c r="CK1337" s="4"/>
      <c r="CL1337" s="4"/>
      <c r="CM1337" s="4"/>
      <c r="CN1337" s="4"/>
      <c r="CO1337" s="4"/>
      <c r="CP1337" s="4"/>
      <c r="CQ1337" s="4"/>
      <c r="CR1337" s="4"/>
      <c r="CS1337" s="4"/>
      <c r="CT1337" s="4"/>
      <c r="CU1337" s="4"/>
      <c r="CV1337" s="4"/>
      <c r="CW1337" s="4"/>
      <c r="CX1337" s="4"/>
      <c r="CY1337" s="4"/>
      <c r="CZ1337" s="4"/>
      <c r="DA1337" s="4"/>
      <c r="DB1337" s="4"/>
      <c r="DC1337" s="4"/>
      <c r="DD1337" s="4"/>
      <c r="DE1337" s="3"/>
      <c r="DF1337" s="3"/>
      <c r="DG1337" s="3"/>
      <c r="DH1337" s="4"/>
      <c r="DI1337" s="4"/>
      <c r="DJ1337" s="4"/>
      <c r="DK1337" s="4"/>
      <c r="DL1337" s="3"/>
      <c r="DM1337" s="3"/>
      <c r="DN1337" s="3"/>
      <c r="DO1337" s="3"/>
      <c r="DP1337" s="4"/>
      <c r="DQ1337" s="4"/>
      <c r="DR1337" s="4"/>
      <c r="DS1337" s="4"/>
      <c r="DT1337" s="4"/>
      <c r="DU1337" s="4"/>
      <c r="DV1337" s="4"/>
      <c r="DW1337" s="4"/>
      <c r="DX1337" s="4"/>
      <c r="DY1337" s="4"/>
      <c r="DZ1337" s="4"/>
      <c r="EA1337" s="4"/>
      <c r="EB1337" s="4"/>
      <c r="EC1337" s="4"/>
      <c r="ED1337" s="4"/>
      <c r="EE1337" s="4"/>
      <c r="EF1337" s="4"/>
      <c r="EG1337" s="4"/>
      <c r="EH1337" s="4"/>
      <c r="EI1337" s="4"/>
      <c r="EJ1337" s="3"/>
      <c r="EK1337" s="3"/>
      <c r="EL1337" s="3"/>
      <c r="EM1337" s="3"/>
      <c r="EN1337" s="3"/>
      <c r="EO1337" s="3"/>
      <c r="EP1337" s="4"/>
      <c r="EQ1337" s="4"/>
      <c r="ER1337" s="3"/>
    </row>
    <row r="1338" spans="1:153" hidden="1">
      <c r="A1338" s="11" t="s">
        <v>9940</v>
      </c>
      <c r="B1338" s="3" t="s">
        <v>8373</v>
      </c>
      <c r="C1338" s="3">
        <v>2010</v>
      </c>
      <c r="D1338" s="3" t="s">
        <v>6408</v>
      </c>
      <c r="E1338" s="3" t="s">
        <v>9462</v>
      </c>
      <c r="F1338" s="3">
        <v>0</v>
      </c>
      <c r="G1338" s="3" t="s">
        <v>9249</v>
      </c>
      <c r="H1338" s="3" t="s">
        <v>9463</v>
      </c>
      <c r="I1338" s="3"/>
      <c r="J1338" s="3"/>
      <c r="K1338" s="3" t="s">
        <v>314</v>
      </c>
      <c r="L1338" s="4"/>
      <c r="M1338" s="3" t="s">
        <v>8577</v>
      </c>
      <c r="T1338" s="4"/>
      <c r="V1338" s="4"/>
      <c r="W1338" s="4"/>
      <c r="X1338" s="5" t="s">
        <v>6412</v>
      </c>
      <c r="Y1338" s="5"/>
      <c r="Z1338" s="4"/>
      <c r="AA1338" s="4"/>
      <c r="AB1338" s="4"/>
      <c r="AE1338" s="4"/>
      <c r="AF1338" s="4"/>
      <c r="AG1338" s="3"/>
      <c r="AH1338" s="3"/>
      <c r="AI1338" s="3"/>
      <c r="AJ1338" s="3"/>
      <c r="AK1338" s="4"/>
      <c r="AL1338" s="3"/>
      <c r="AM1338" s="4"/>
      <c r="AN1338" s="3"/>
      <c r="AO1338" s="3"/>
      <c r="AP1338" s="4"/>
      <c r="AQ1338" s="3"/>
      <c r="AR1338" s="4"/>
      <c r="AS1338" s="4"/>
      <c r="AT1338" s="4"/>
      <c r="AU1338" s="4"/>
      <c r="AV1338" s="4"/>
      <c r="AW1338" s="4"/>
      <c r="AX1338" s="4"/>
      <c r="AY1338" s="4"/>
      <c r="AZ1338" s="4"/>
      <c r="BA1338" s="4"/>
      <c r="BB1338" s="3"/>
      <c r="BC1338" s="3"/>
      <c r="BD1338" s="3"/>
      <c r="BE1338" s="4"/>
      <c r="BF1338" s="3"/>
      <c r="BG1338" s="4"/>
      <c r="BH1338" s="4"/>
      <c r="BI1338" s="4"/>
      <c r="BJ1338" s="3"/>
      <c r="BK1338" s="4"/>
      <c r="BL1338" s="4"/>
      <c r="BM1338" s="4"/>
      <c r="BN1338" s="4"/>
      <c r="BO1338" s="4"/>
      <c r="BP1338" s="4"/>
      <c r="BQ1338" s="4"/>
      <c r="BR1338" s="4"/>
      <c r="BS1338" s="4"/>
      <c r="BT1338" s="4"/>
      <c r="BU1338" s="4"/>
      <c r="BV1338" s="4"/>
      <c r="BW1338" s="4"/>
      <c r="BX1338" s="4"/>
      <c r="BY1338" s="4"/>
      <c r="BZ1338" s="4"/>
      <c r="CA1338" s="4"/>
      <c r="CB1338" s="4"/>
      <c r="CC1338" s="4"/>
      <c r="CD1338" s="4"/>
      <c r="CE1338" s="4"/>
      <c r="CF1338" s="4"/>
      <c r="CG1338" s="4"/>
      <c r="CH1338" s="4"/>
      <c r="CI1338" s="4"/>
      <c r="CJ1338" s="4"/>
      <c r="CK1338" s="4"/>
      <c r="CL1338" s="4"/>
      <c r="CM1338" s="4"/>
      <c r="CN1338" s="4"/>
      <c r="CO1338" s="4"/>
      <c r="CP1338" s="4"/>
      <c r="CQ1338" s="4"/>
      <c r="CR1338" s="4"/>
      <c r="CS1338" s="4"/>
      <c r="CT1338" s="4"/>
      <c r="CU1338" s="4"/>
      <c r="CV1338" s="3"/>
      <c r="CW1338" s="3"/>
      <c r="CX1338" s="4"/>
      <c r="CY1338" s="4"/>
      <c r="CZ1338" s="4"/>
      <c r="DA1338" s="4"/>
      <c r="DB1338" s="4"/>
      <c r="DC1338" s="4"/>
      <c r="DD1338" s="4"/>
      <c r="DE1338" s="4"/>
      <c r="DF1338" s="4"/>
      <c r="DG1338" s="4"/>
      <c r="DH1338" s="4"/>
      <c r="DI1338" s="4"/>
      <c r="DJ1338" s="4"/>
      <c r="DK1338" s="4"/>
      <c r="DL1338" s="4"/>
      <c r="DM1338" s="4"/>
      <c r="DN1338" s="4"/>
      <c r="DO1338" s="4"/>
      <c r="DP1338" s="4"/>
      <c r="DQ1338" s="4"/>
      <c r="DR1338" s="4"/>
      <c r="DS1338" s="4"/>
      <c r="DT1338" s="4"/>
      <c r="DU1338" s="4"/>
      <c r="DV1338" s="4"/>
      <c r="DW1338" s="4"/>
      <c r="DX1338" s="4"/>
      <c r="DY1338" s="4"/>
      <c r="DZ1338" s="4"/>
      <c r="EA1338" s="4"/>
      <c r="EB1338" s="4"/>
      <c r="EC1338" s="4"/>
      <c r="ED1338" s="4"/>
      <c r="EE1338" s="4"/>
      <c r="EF1338" s="4"/>
      <c r="EG1338" s="4"/>
      <c r="EH1338" s="4"/>
      <c r="EI1338" s="4"/>
    </row>
    <row r="1339" spans="1:153" hidden="1">
      <c r="A1339" s="11" t="s">
        <v>9940</v>
      </c>
      <c r="B1339" s="3" t="s">
        <v>8373</v>
      </c>
      <c r="C1339" s="3">
        <v>2009</v>
      </c>
      <c r="D1339" s="3" t="s">
        <v>8741</v>
      </c>
      <c r="E1339" s="3" t="s">
        <v>8742</v>
      </c>
      <c r="F1339" s="3">
        <v>1</v>
      </c>
      <c r="G1339" s="3"/>
      <c r="H1339" s="3" t="s">
        <v>791</v>
      </c>
      <c r="I1339" s="3"/>
      <c r="J1339" s="3"/>
      <c r="K1339" s="3" t="s">
        <v>252</v>
      </c>
      <c r="L1339" s="4"/>
      <c r="M1339" s="3" t="s">
        <v>8427</v>
      </c>
      <c r="T1339" s="3" t="s">
        <v>789</v>
      </c>
      <c r="V1339" s="3"/>
      <c r="W1339" s="4"/>
      <c r="X1339" s="5" t="s">
        <v>792</v>
      </c>
      <c r="Y1339" s="5"/>
      <c r="Z1339" s="3">
        <v>1</v>
      </c>
      <c r="AA1339" s="4"/>
      <c r="AB1339" s="3"/>
      <c r="AE1339" s="3"/>
      <c r="AF1339" s="3"/>
      <c r="AG1339" s="4"/>
      <c r="AH1339" s="4"/>
      <c r="AI1339" s="4"/>
      <c r="AJ1339" s="4"/>
      <c r="AK1339" s="3"/>
      <c r="AL1339" s="3"/>
      <c r="AM1339" s="3"/>
      <c r="AN1339" s="3"/>
      <c r="AO1339" s="4"/>
      <c r="AP1339" s="3"/>
      <c r="AQ1339" s="4"/>
      <c r="AR1339" s="3"/>
      <c r="AS1339" s="3"/>
      <c r="AT1339" s="4"/>
      <c r="AU1339" s="3"/>
      <c r="AV1339" s="4"/>
      <c r="AW1339" s="4"/>
      <c r="AX1339" s="4"/>
      <c r="AY1339" s="4"/>
      <c r="AZ1339" s="4"/>
      <c r="BA1339" s="4"/>
      <c r="BB1339" s="4"/>
      <c r="BC1339" s="4"/>
      <c r="BD1339" s="4"/>
      <c r="BE1339" s="4"/>
      <c r="BF1339" s="3"/>
      <c r="BG1339" s="3"/>
      <c r="BH1339" s="3"/>
      <c r="BI1339" s="4"/>
      <c r="BJ1339" s="3"/>
      <c r="BK1339" s="4"/>
      <c r="BL1339" s="4"/>
      <c r="BM1339" s="3"/>
      <c r="BN1339" s="4"/>
      <c r="BO1339" s="4"/>
      <c r="BP1339" s="4"/>
      <c r="BQ1339" s="4"/>
      <c r="BR1339" s="4"/>
      <c r="BS1339" s="4"/>
      <c r="BT1339" s="4"/>
      <c r="BU1339" s="4"/>
      <c r="BV1339" s="4"/>
      <c r="BW1339" s="4"/>
      <c r="BX1339" s="4"/>
      <c r="BY1339" s="4"/>
      <c r="BZ1339" s="4"/>
      <c r="CA1339" s="4"/>
      <c r="CB1339" s="4"/>
      <c r="CC1339" s="4"/>
      <c r="CD1339" s="4"/>
      <c r="CE1339" s="4"/>
      <c r="CF1339" s="4"/>
      <c r="CG1339" s="4"/>
      <c r="CH1339" s="4"/>
      <c r="CI1339" s="4"/>
      <c r="CJ1339" s="4"/>
      <c r="CK1339" s="4"/>
      <c r="CL1339" s="4"/>
      <c r="CM1339" s="4"/>
      <c r="CN1339" s="4"/>
      <c r="CO1339" s="4"/>
      <c r="CP1339" s="4"/>
      <c r="CQ1339" s="4"/>
      <c r="CR1339" s="4"/>
      <c r="CS1339" s="4"/>
      <c r="CT1339" s="4"/>
      <c r="CU1339" s="4"/>
      <c r="CV1339" s="4"/>
      <c r="CW1339" s="4"/>
      <c r="CX1339" s="4"/>
      <c r="CY1339" s="4"/>
      <c r="CZ1339" s="4"/>
      <c r="DA1339" s="3"/>
      <c r="DB1339" s="3"/>
      <c r="DC1339" s="8"/>
      <c r="DD1339" s="4"/>
      <c r="DE1339" s="4"/>
      <c r="DF1339" s="4"/>
      <c r="DG1339" s="4"/>
      <c r="DH1339" s="8"/>
      <c r="DI1339" s="8"/>
      <c r="DJ1339" s="8"/>
      <c r="DK1339" s="8"/>
      <c r="DL1339" s="4"/>
      <c r="DM1339" s="4"/>
      <c r="DN1339" s="4"/>
      <c r="DO1339" s="4"/>
      <c r="DP1339" s="4"/>
      <c r="DQ1339" s="4"/>
      <c r="DR1339" s="4"/>
      <c r="DS1339" s="4"/>
      <c r="DT1339" s="4"/>
      <c r="DU1339" s="4"/>
      <c r="DV1339" s="4"/>
      <c r="DW1339" s="4"/>
      <c r="DX1339" s="4"/>
      <c r="DY1339" s="4"/>
      <c r="DZ1339" s="4"/>
      <c r="EA1339" s="4"/>
      <c r="EB1339" s="4"/>
      <c r="EC1339" s="4"/>
      <c r="ED1339" s="4"/>
      <c r="EE1339" s="4"/>
      <c r="EF1339" s="8"/>
      <c r="EG1339" s="8"/>
      <c r="EH1339" s="8"/>
      <c r="EI1339" s="8"/>
      <c r="EJ1339" s="8"/>
      <c r="EK1339" s="8"/>
      <c r="EL1339" s="4"/>
      <c r="EM1339" s="4"/>
      <c r="EN1339" s="4"/>
    </row>
    <row r="1340" spans="1:153" hidden="1">
      <c r="A1340" s="11" t="s">
        <v>9940</v>
      </c>
      <c r="B1340" s="3" t="s">
        <v>8373</v>
      </c>
      <c r="C1340" s="3">
        <v>2002</v>
      </c>
      <c r="D1340" s="3" t="s">
        <v>9464</v>
      </c>
      <c r="E1340" s="3" t="s">
        <v>9465</v>
      </c>
      <c r="F1340" s="3">
        <v>1</v>
      </c>
      <c r="G1340" s="3"/>
      <c r="H1340" s="3" t="s">
        <v>9469</v>
      </c>
      <c r="I1340" s="3"/>
      <c r="J1340" s="3"/>
      <c r="K1340" s="3" t="s">
        <v>664</v>
      </c>
      <c r="L1340" s="4"/>
      <c r="M1340" s="3" t="s">
        <v>9466</v>
      </c>
      <c r="T1340" s="3" t="s">
        <v>9467</v>
      </c>
      <c r="V1340" s="3"/>
      <c r="W1340" s="3"/>
      <c r="X1340" s="5" t="s">
        <v>9468</v>
      </c>
      <c r="Y1340" s="5"/>
      <c r="Z1340" s="3">
        <v>0</v>
      </c>
      <c r="AA1340" s="3" t="s">
        <v>9178</v>
      </c>
      <c r="AB1340" s="4"/>
      <c r="AE1340" s="3"/>
      <c r="AF1340" s="4"/>
      <c r="AG1340" s="4"/>
      <c r="AH1340" s="4"/>
      <c r="AI1340" s="4"/>
      <c r="AJ1340" s="4"/>
      <c r="AK1340" s="3"/>
      <c r="AL1340" s="3"/>
      <c r="AM1340" s="3"/>
      <c r="AN1340" s="3"/>
      <c r="AO1340" s="4"/>
      <c r="AP1340" s="3"/>
      <c r="AQ1340" s="4"/>
      <c r="AR1340" s="3"/>
      <c r="AS1340" s="3"/>
      <c r="AT1340" s="4"/>
      <c r="AU1340" s="3"/>
      <c r="AV1340" s="4"/>
      <c r="AW1340" s="4"/>
      <c r="AX1340" s="4"/>
      <c r="AY1340" s="4"/>
      <c r="AZ1340" s="4"/>
      <c r="BA1340" s="4"/>
      <c r="BB1340" s="4"/>
      <c r="BC1340" s="4"/>
      <c r="BD1340" s="4"/>
      <c r="BE1340" s="4"/>
      <c r="BF1340" s="3"/>
      <c r="BG1340" s="3"/>
      <c r="BH1340" s="3"/>
      <c r="BI1340" s="4"/>
      <c r="BJ1340" s="3"/>
      <c r="BK1340" s="4"/>
      <c r="BL1340" s="4"/>
      <c r="BM1340" s="3"/>
      <c r="BN1340" s="4"/>
      <c r="BO1340" s="4"/>
      <c r="BP1340" s="4"/>
      <c r="BQ1340" s="4"/>
      <c r="BR1340" s="4"/>
      <c r="BS1340" s="4"/>
      <c r="BT1340" s="4"/>
      <c r="BU1340" s="4"/>
      <c r="BV1340" s="4"/>
      <c r="BW1340" s="4"/>
      <c r="BX1340" s="4"/>
      <c r="BY1340" s="4"/>
      <c r="BZ1340" s="4"/>
      <c r="CA1340" s="4"/>
      <c r="CB1340" s="4"/>
      <c r="CC1340" s="4"/>
      <c r="CD1340" s="4"/>
      <c r="CE1340" s="4"/>
      <c r="CF1340" s="4"/>
      <c r="CG1340" s="4"/>
      <c r="CH1340" s="4"/>
      <c r="CI1340" s="4"/>
      <c r="CJ1340" s="4"/>
      <c r="CK1340" s="4"/>
      <c r="CL1340" s="4"/>
      <c r="CM1340" s="4"/>
      <c r="CN1340" s="4"/>
      <c r="CO1340" s="4"/>
      <c r="CP1340" s="4"/>
      <c r="CQ1340" s="4"/>
      <c r="CR1340" s="4"/>
      <c r="CS1340" s="4"/>
      <c r="CT1340" s="3"/>
      <c r="CU1340" s="3"/>
      <c r="CV1340" s="4"/>
      <c r="CW1340" s="4"/>
      <c r="CX1340" s="4"/>
      <c r="CY1340" s="4"/>
      <c r="CZ1340" s="4"/>
      <c r="DA1340" s="4"/>
      <c r="DB1340" s="4"/>
      <c r="DC1340" s="4"/>
      <c r="DD1340" s="4"/>
      <c r="DE1340" s="4"/>
      <c r="DF1340" s="4"/>
      <c r="DG1340" s="4"/>
      <c r="DH1340" s="4"/>
      <c r="DI1340" s="4"/>
      <c r="DJ1340" s="4"/>
      <c r="DK1340" s="4"/>
      <c r="DL1340" s="4"/>
      <c r="DM1340" s="4"/>
      <c r="DN1340" s="4"/>
      <c r="DO1340" s="4"/>
      <c r="DP1340" s="4"/>
      <c r="DQ1340" s="4"/>
      <c r="DR1340" s="4"/>
      <c r="DS1340" s="4"/>
      <c r="DT1340" s="4"/>
      <c r="DU1340" s="4"/>
      <c r="DV1340" s="4"/>
      <c r="DW1340" s="4"/>
      <c r="DX1340" s="4"/>
      <c r="DY1340" s="4"/>
      <c r="DZ1340" s="4"/>
      <c r="EA1340" s="4"/>
      <c r="EB1340" s="4"/>
      <c r="EC1340" s="4"/>
      <c r="ED1340" s="4"/>
      <c r="EE1340" s="4"/>
      <c r="EF1340" s="4"/>
      <c r="EG1340" s="4"/>
    </row>
    <row r="1341" spans="1:153" hidden="1">
      <c r="A1341" s="11" t="s">
        <v>9940</v>
      </c>
      <c r="B1341" s="3" t="s">
        <v>8386</v>
      </c>
      <c r="C1341" s="3">
        <v>2013</v>
      </c>
      <c r="D1341" s="3" t="s">
        <v>2991</v>
      </c>
      <c r="E1341" s="3" t="s">
        <v>8743</v>
      </c>
      <c r="F1341" s="3">
        <v>1</v>
      </c>
      <c r="G1341" s="3"/>
      <c r="H1341" s="3" t="s">
        <v>8746</v>
      </c>
      <c r="I1341" s="3"/>
      <c r="J1341" s="3"/>
      <c r="K1341" s="3" t="s">
        <v>8744</v>
      </c>
      <c r="L1341" s="3" t="s">
        <v>8745</v>
      </c>
      <c r="M1341" s="4"/>
      <c r="T1341" s="4"/>
      <c r="V1341" s="3"/>
      <c r="W1341" s="3"/>
      <c r="X1341" s="5" t="s">
        <v>2997</v>
      </c>
      <c r="Y1341" s="5"/>
      <c r="Z1341" s="3">
        <v>1</v>
      </c>
      <c r="AA1341" s="4"/>
      <c r="AB1341" s="4"/>
      <c r="AE1341" s="3"/>
      <c r="AF1341" s="3"/>
      <c r="AG1341" s="4"/>
      <c r="AH1341" s="3"/>
      <c r="AI1341" s="4"/>
      <c r="AJ1341" s="4"/>
      <c r="AK1341" s="3"/>
      <c r="AL1341" s="3"/>
      <c r="AM1341" s="3"/>
      <c r="AN1341" s="3"/>
      <c r="AO1341" s="4"/>
      <c r="AP1341" s="3"/>
      <c r="AQ1341" s="4"/>
      <c r="AR1341" s="4"/>
      <c r="AS1341" s="4"/>
      <c r="AT1341" s="4"/>
      <c r="AU1341" s="4"/>
      <c r="AV1341" s="4"/>
      <c r="AW1341" s="4"/>
      <c r="AX1341" s="4"/>
      <c r="AY1341" s="4"/>
      <c r="AZ1341" s="4"/>
      <c r="BA1341" s="3"/>
      <c r="BB1341" s="3"/>
      <c r="BC1341" s="4"/>
      <c r="BD1341" s="4"/>
      <c r="BE1341" s="3"/>
      <c r="BF1341" s="3"/>
      <c r="BG1341" s="3"/>
      <c r="BH1341" s="4"/>
      <c r="BI1341" s="4"/>
      <c r="BJ1341" s="4"/>
      <c r="BK1341" s="4"/>
      <c r="BL1341" s="4"/>
      <c r="BM1341" s="3"/>
      <c r="BN1341" s="3"/>
      <c r="BO1341" s="4"/>
      <c r="BP1341" s="4"/>
      <c r="BQ1341" s="4"/>
      <c r="BR1341" s="4"/>
      <c r="BS1341" s="4"/>
      <c r="BT1341" s="4"/>
      <c r="BU1341" s="4"/>
      <c r="BV1341" s="4"/>
      <c r="BW1341" s="4"/>
      <c r="BX1341" s="4"/>
      <c r="BY1341" s="4"/>
      <c r="BZ1341" s="4"/>
      <c r="CA1341" s="4"/>
      <c r="CB1341" s="4"/>
      <c r="CC1341" s="4"/>
      <c r="CD1341" s="4"/>
      <c r="CE1341" s="4"/>
      <c r="CF1341" s="4"/>
      <c r="CG1341" s="4"/>
      <c r="CH1341" s="4"/>
      <c r="CI1341" s="4"/>
      <c r="CJ1341" s="4"/>
      <c r="CK1341" s="4"/>
      <c r="CL1341" s="4"/>
      <c r="CM1341" s="4"/>
      <c r="CN1341" s="4"/>
      <c r="CO1341" s="4"/>
      <c r="CP1341" s="4"/>
      <c r="CQ1341" s="4"/>
      <c r="CR1341" s="4"/>
      <c r="CS1341" s="4"/>
      <c r="CT1341" s="4"/>
      <c r="CU1341" s="4"/>
      <c r="CV1341" s="4"/>
      <c r="CW1341" s="4"/>
      <c r="CX1341" s="4"/>
      <c r="CY1341" s="4"/>
      <c r="CZ1341" s="4"/>
      <c r="DA1341" s="4"/>
      <c r="DB1341" s="4"/>
      <c r="DC1341" s="4"/>
      <c r="DD1341" s="4"/>
      <c r="DE1341" s="4"/>
      <c r="DF1341" s="3"/>
      <c r="DG1341" s="3"/>
      <c r="DH1341" s="3"/>
      <c r="DI1341" s="4"/>
      <c r="DJ1341" s="4"/>
      <c r="DK1341" s="4"/>
      <c r="DL1341" s="15"/>
      <c r="DM1341" s="3"/>
      <c r="DN1341" s="3"/>
      <c r="DO1341" s="3"/>
      <c r="DP1341" s="3"/>
      <c r="DQ1341" s="4"/>
      <c r="DR1341" s="4"/>
      <c r="DS1341" s="4"/>
      <c r="DT1341" s="4"/>
      <c r="DU1341" s="4"/>
      <c r="DV1341" s="4"/>
      <c r="DW1341" s="4"/>
      <c r="DX1341" s="4"/>
      <c r="DY1341" s="4"/>
      <c r="DZ1341" s="4"/>
      <c r="EA1341" s="4"/>
      <c r="EB1341" s="4"/>
      <c r="EC1341" s="4"/>
      <c r="ED1341" s="4"/>
      <c r="EE1341" s="4"/>
      <c r="EF1341" s="4"/>
      <c r="EG1341" s="4"/>
      <c r="EH1341" s="4"/>
      <c r="EI1341" s="4"/>
      <c r="EJ1341" s="4"/>
      <c r="EK1341" s="3"/>
      <c r="EL1341" s="3"/>
      <c r="EM1341" s="3"/>
      <c r="EN1341" s="3"/>
      <c r="EO1341" s="3"/>
      <c r="EP1341" s="3"/>
      <c r="EQ1341" s="4"/>
      <c r="ER1341" s="4"/>
      <c r="ES1341" s="3"/>
    </row>
    <row r="1342" spans="1:153" hidden="1">
      <c r="A1342" s="11" t="s">
        <v>9940</v>
      </c>
      <c r="B1342" s="3" t="s">
        <v>8373</v>
      </c>
      <c r="C1342" s="3">
        <v>2011</v>
      </c>
      <c r="D1342" s="3" t="s">
        <v>2313</v>
      </c>
      <c r="E1342" s="3" t="s">
        <v>8747</v>
      </c>
      <c r="F1342" s="3">
        <v>1</v>
      </c>
      <c r="G1342" s="3"/>
      <c r="H1342" s="3" t="s">
        <v>2317</v>
      </c>
      <c r="I1342" s="3"/>
      <c r="J1342" s="3"/>
      <c r="K1342" s="3" t="s">
        <v>132</v>
      </c>
      <c r="L1342" s="4"/>
      <c r="M1342" s="3" t="s">
        <v>8382</v>
      </c>
      <c r="T1342" s="3" t="s">
        <v>2315</v>
      </c>
      <c r="V1342" s="3"/>
      <c r="W1342" s="4"/>
      <c r="X1342" s="5" t="s">
        <v>2318</v>
      </c>
      <c r="Y1342" s="5"/>
      <c r="Z1342" s="3">
        <v>1</v>
      </c>
      <c r="AA1342" s="4"/>
      <c r="AB1342" s="4"/>
      <c r="AE1342" s="3"/>
      <c r="AF1342" s="3"/>
      <c r="AG1342" s="4"/>
      <c r="AH1342" s="4"/>
      <c r="AI1342" s="4"/>
      <c r="AJ1342" s="4"/>
      <c r="AK1342" s="3"/>
      <c r="AL1342" s="3"/>
      <c r="AM1342" s="3"/>
      <c r="AN1342" s="3"/>
      <c r="AO1342" s="4"/>
      <c r="AP1342" s="3"/>
      <c r="AQ1342" s="4"/>
      <c r="AR1342" s="3"/>
      <c r="AS1342" s="3"/>
      <c r="AT1342" s="4"/>
      <c r="AU1342" s="3"/>
      <c r="AV1342" s="4"/>
      <c r="AW1342" s="4"/>
      <c r="AX1342" s="4"/>
      <c r="AY1342" s="4"/>
      <c r="AZ1342" s="4"/>
      <c r="BA1342" s="4"/>
      <c r="BB1342" s="4"/>
      <c r="BC1342" s="4"/>
      <c r="BD1342" s="4"/>
      <c r="BE1342" s="4"/>
      <c r="BF1342" s="3"/>
      <c r="BG1342" s="3"/>
      <c r="BH1342" s="3"/>
      <c r="BI1342" s="4"/>
      <c r="BJ1342" s="3"/>
      <c r="BK1342" s="4"/>
      <c r="BL1342" s="4"/>
      <c r="BM1342" s="3"/>
      <c r="BN1342" s="4"/>
      <c r="BO1342" s="4"/>
      <c r="BP1342" s="4"/>
      <c r="BQ1342" s="4"/>
      <c r="BR1342" s="4"/>
      <c r="BS1342" s="4"/>
      <c r="BT1342" s="4"/>
      <c r="BU1342" s="4"/>
      <c r="BV1342" s="4"/>
      <c r="BW1342" s="4"/>
      <c r="BX1342" s="4"/>
      <c r="BY1342" s="4"/>
      <c r="BZ1342" s="4"/>
      <c r="CA1342" s="4"/>
      <c r="CB1342" s="4"/>
      <c r="CC1342" s="4"/>
      <c r="CD1342" s="4"/>
      <c r="CE1342" s="4"/>
      <c r="CF1342" s="4"/>
      <c r="CG1342" s="4"/>
      <c r="CH1342" s="4"/>
      <c r="CI1342" s="4"/>
      <c r="CJ1342" s="4"/>
      <c r="CK1342" s="4"/>
      <c r="CL1342" s="4"/>
      <c r="CM1342" s="4"/>
      <c r="CN1342" s="4"/>
      <c r="CO1342" s="4"/>
      <c r="CP1342" s="4"/>
      <c r="CQ1342" s="4"/>
      <c r="CR1342" s="4"/>
      <c r="CS1342" s="4"/>
      <c r="CT1342" s="4"/>
      <c r="CU1342" s="4"/>
      <c r="CV1342" s="4"/>
      <c r="CW1342" s="4"/>
      <c r="CX1342" s="4"/>
      <c r="CY1342" s="4"/>
      <c r="CZ1342" s="4"/>
      <c r="DA1342" s="4"/>
      <c r="DB1342" s="4"/>
      <c r="DC1342" s="4"/>
      <c r="DD1342" s="4"/>
      <c r="DE1342" s="4"/>
      <c r="DF1342" s="3"/>
      <c r="DG1342" s="3"/>
      <c r="DH1342" s="8"/>
      <c r="DI1342" s="4"/>
      <c r="DJ1342" s="4"/>
      <c r="DK1342" s="4"/>
      <c r="DL1342" s="4"/>
      <c r="DM1342" s="8"/>
      <c r="DN1342" s="8"/>
      <c r="DO1342" s="8"/>
      <c r="DP1342" s="8"/>
      <c r="DQ1342" s="4"/>
      <c r="DR1342" s="4"/>
      <c r="DS1342" s="4"/>
      <c r="DT1342" s="4"/>
      <c r="DU1342" s="4"/>
      <c r="DV1342" s="4"/>
      <c r="DW1342" s="4"/>
      <c r="DX1342" s="4"/>
      <c r="DY1342" s="4"/>
      <c r="DZ1342" s="4"/>
      <c r="EA1342" s="4"/>
      <c r="EB1342" s="4"/>
      <c r="EC1342" s="4"/>
      <c r="ED1342" s="4"/>
      <c r="EE1342" s="4"/>
      <c r="EF1342" s="4"/>
      <c r="EG1342" s="4"/>
      <c r="EH1342" s="4"/>
      <c r="EI1342" s="4"/>
      <c r="EJ1342" s="4"/>
      <c r="EK1342" s="8"/>
      <c r="EL1342" s="8"/>
      <c r="EM1342" s="8"/>
      <c r="EN1342" s="8"/>
      <c r="EO1342" s="8"/>
      <c r="EP1342" s="8"/>
      <c r="EQ1342" s="4"/>
      <c r="ER1342" s="4"/>
      <c r="ES1342" s="4"/>
    </row>
    <row r="1343" spans="1:153" hidden="1">
      <c r="A1343" s="11" t="s">
        <v>9940</v>
      </c>
      <c r="B1343" s="3" t="s">
        <v>8373</v>
      </c>
      <c r="C1343" s="3">
        <v>2010</v>
      </c>
      <c r="D1343" s="3" t="s">
        <v>2626</v>
      </c>
      <c r="E1343" s="3" t="s">
        <v>8748</v>
      </c>
      <c r="F1343" s="3">
        <v>1</v>
      </c>
      <c r="G1343" s="3"/>
      <c r="H1343" s="3" t="s">
        <v>8749</v>
      </c>
      <c r="I1343" s="3"/>
      <c r="J1343" s="3"/>
      <c r="K1343" s="3" t="s">
        <v>132</v>
      </c>
      <c r="L1343" s="4"/>
      <c r="M1343" s="3" t="s">
        <v>8382</v>
      </c>
      <c r="T1343" s="3" t="s">
        <v>2628</v>
      </c>
      <c r="V1343" s="3"/>
      <c r="W1343" s="3"/>
      <c r="X1343" s="5" t="s">
        <v>2631</v>
      </c>
      <c r="Y1343" s="5"/>
      <c r="Z1343" s="3">
        <v>1</v>
      </c>
      <c r="AA1343" s="4"/>
      <c r="AB1343" s="4"/>
      <c r="AE1343" s="3"/>
      <c r="AF1343" s="3"/>
      <c r="AG1343" s="4"/>
      <c r="AH1343" s="4"/>
      <c r="AI1343" s="4"/>
      <c r="AJ1343" s="4"/>
      <c r="AK1343" s="3"/>
      <c r="AL1343" s="3"/>
      <c r="AM1343" s="3"/>
      <c r="AN1343" s="3"/>
      <c r="AO1343" s="4"/>
      <c r="AP1343" s="3"/>
      <c r="AQ1343" s="4"/>
      <c r="AR1343" s="3"/>
      <c r="AS1343" s="3"/>
      <c r="AT1343" s="4"/>
      <c r="AU1343" s="3"/>
      <c r="AV1343" s="4"/>
      <c r="AW1343" s="4"/>
      <c r="AX1343" s="4"/>
      <c r="AY1343" s="4"/>
      <c r="AZ1343" s="4"/>
      <c r="BA1343" s="4"/>
      <c r="BB1343" s="4"/>
      <c r="BC1343" s="4"/>
      <c r="BD1343" s="4"/>
      <c r="BE1343" s="4"/>
      <c r="BF1343" s="3"/>
      <c r="BG1343" s="3"/>
      <c r="BH1343" s="3"/>
      <c r="BI1343" s="4"/>
      <c r="BJ1343" s="3"/>
      <c r="BK1343" s="4"/>
      <c r="BL1343" s="4"/>
      <c r="BM1343" s="3"/>
      <c r="BN1343" s="4"/>
      <c r="BO1343" s="4"/>
      <c r="BP1343" s="4"/>
      <c r="BQ1343" s="4"/>
      <c r="BR1343" s="4"/>
      <c r="BS1343" s="4"/>
      <c r="BT1343" s="4"/>
      <c r="BU1343" s="4"/>
      <c r="BV1343" s="4"/>
      <c r="BW1343" s="4"/>
      <c r="BX1343" s="4"/>
      <c r="BY1343" s="4"/>
      <c r="BZ1343" s="4"/>
      <c r="CA1343" s="4"/>
      <c r="CB1343" s="4"/>
      <c r="CC1343" s="4"/>
      <c r="CD1343" s="4"/>
      <c r="CE1343" s="4"/>
      <c r="CF1343" s="4"/>
      <c r="CG1343" s="4"/>
      <c r="CH1343" s="4"/>
      <c r="CI1343" s="4"/>
      <c r="CJ1343" s="4"/>
      <c r="CK1343" s="4"/>
      <c r="CL1343" s="4"/>
      <c r="CM1343" s="4"/>
      <c r="CN1343" s="4"/>
      <c r="CO1343" s="4"/>
      <c r="CP1343" s="4"/>
      <c r="CQ1343" s="4"/>
      <c r="CR1343" s="4"/>
      <c r="CS1343" s="4"/>
      <c r="CT1343" s="4"/>
      <c r="CU1343" s="4"/>
      <c r="CV1343" s="4"/>
      <c r="CW1343" s="4"/>
      <c r="CX1343" s="4"/>
      <c r="CY1343" s="4"/>
      <c r="CZ1343" s="4"/>
      <c r="DA1343" s="3"/>
      <c r="DB1343" s="3"/>
      <c r="DC1343" s="8"/>
      <c r="DD1343" s="4"/>
      <c r="DE1343" s="4"/>
      <c r="DF1343" s="4"/>
      <c r="DG1343" s="4"/>
      <c r="DH1343" s="8"/>
      <c r="DI1343" s="8"/>
      <c r="DJ1343" s="8"/>
      <c r="DK1343" s="8"/>
      <c r="DL1343" s="4"/>
      <c r="DM1343" s="4"/>
      <c r="DN1343" s="4"/>
      <c r="DO1343" s="4"/>
      <c r="DP1343" s="4"/>
      <c r="DQ1343" s="4"/>
      <c r="DR1343" s="4"/>
      <c r="DS1343" s="4"/>
      <c r="DT1343" s="4"/>
      <c r="DU1343" s="4"/>
      <c r="DV1343" s="4"/>
      <c r="DW1343" s="4"/>
      <c r="DX1343" s="4"/>
      <c r="DY1343" s="4"/>
      <c r="DZ1343" s="4"/>
      <c r="EA1343" s="4"/>
      <c r="EB1343" s="4"/>
      <c r="EC1343" s="4"/>
      <c r="ED1343" s="4"/>
      <c r="EE1343" s="4"/>
      <c r="EF1343" s="8"/>
      <c r="EG1343" s="8"/>
      <c r="EH1343" s="8"/>
      <c r="EI1343" s="8"/>
      <c r="EJ1343" s="8"/>
      <c r="EK1343" s="8"/>
      <c r="EL1343" s="4"/>
      <c r="EM1343" s="4"/>
      <c r="EN1343" s="4"/>
    </row>
    <row r="1344" spans="1:153" hidden="1">
      <c r="A1344" s="11" t="s">
        <v>9940</v>
      </c>
      <c r="B1344" s="3" t="s">
        <v>8373</v>
      </c>
      <c r="C1344" s="3">
        <v>2011</v>
      </c>
      <c r="D1344" s="3" t="s">
        <v>9470</v>
      </c>
      <c r="E1344" s="3" t="s">
        <v>9471</v>
      </c>
      <c r="F1344" s="3">
        <v>1</v>
      </c>
      <c r="G1344" s="3"/>
      <c r="H1344" s="3" t="s">
        <v>9475</v>
      </c>
      <c r="I1344" s="3"/>
      <c r="J1344" s="3"/>
      <c r="K1344" s="3" t="s">
        <v>925</v>
      </c>
      <c r="L1344" s="4"/>
      <c r="M1344" s="3" t="s">
        <v>9472</v>
      </c>
      <c r="T1344" s="3" t="s">
        <v>9473</v>
      </c>
      <c r="V1344" s="3"/>
      <c r="W1344" s="3"/>
      <c r="X1344" s="5" t="s">
        <v>9474</v>
      </c>
      <c r="Y1344" s="5"/>
      <c r="Z1344" s="3">
        <v>0</v>
      </c>
      <c r="AA1344" s="3" t="s">
        <v>9178</v>
      </c>
      <c r="AB1344" s="4"/>
      <c r="AE1344" s="3"/>
      <c r="AF1344" s="4"/>
      <c r="AG1344" s="4"/>
      <c r="AH1344" s="4"/>
      <c r="AI1344" s="4"/>
      <c r="AJ1344" s="4"/>
      <c r="AK1344" s="3"/>
      <c r="AL1344" s="3"/>
      <c r="AM1344" s="3"/>
      <c r="AN1344" s="3"/>
      <c r="AO1344" s="4"/>
      <c r="AP1344" s="3"/>
      <c r="AQ1344" s="4"/>
      <c r="AR1344" s="3"/>
      <c r="AS1344" s="3"/>
      <c r="AT1344" s="4"/>
      <c r="AU1344" s="3"/>
      <c r="AV1344" s="4"/>
      <c r="AW1344" s="4"/>
      <c r="AX1344" s="4"/>
      <c r="AY1344" s="4"/>
      <c r="AZ1344" s="4"/>
      <c r="BA1344" s="4"/>
      <c r="BB1344" s="4"/>
      <c r="BC1344" s="4"/>
      <c r="BD1344" s="4"/>
      <c r="BE1344" s="4"/>
      <c r="BF1344" s="3"/>
      <c r="BG1344" s="3"/>
      <c r="BH1344" s="3"/>
      <c r="BI1344" s="4"/>
      <c r="BJ1344" s="3"/>
      <c r="BK1344" s="4"/>
      <c r="BL1344" s="4"/>
      <c r="BM1344" s="3"/>
      <c r="BN1344" s="4"/>
      <c r="BO1344" s="4"/>
      <c r="BP1344" s="4"/>
      <c r="BQ1344" s="4"/>
      <c r="BR1344" s="4"/>
      <c r="BS1344" s="4"/>
      <c r="BT1344" s="4"/>
      <c r="BU1344" s="4"/>
      <c r="BV1344" s="4"/>
      <c r="BW1344" s="4"/>
      <c r="BX1344" s="4"/>
      <c r="BY1344" s="4"/>
      <c r="BZ1344" s="4"/>
      <c r="CA1344" s="4"/>
      <c r="CB1344" s="4"/>
      <c r="CC1344" s="4"/>
      <c r="CD1344" s="4"/>
      <c r="CE1344" s="4"/>
      <c r="CF1344" s="4"/>
      <c r="CG1344" s="4"/>
      <c r="CH1344" s="4"/>
      <c r="CI1344" s="4"/>
      <c r="CJ1344" s="4"/>
      <c r="CK1344" s="4"/>
      <c r="CL1344" s="4"/>
      <c r="CM1344" s="4"/>
      <c r="CN1344" s="4"/>
      <c r="CO1344" s="3"/>
      <c r="CP1344" s="3"/>
      <c r="CQ1344" s="4"/>
      <c r="CR1344" s="4"/>
      <c r="CS1344" s="4"/>
      <c r="CT1344" s="4"/>
      <c r="CU1344" s="4"/>
      <c r="CV1344" s="4"/>
      <c r="CW1344" s="4"/>
      <c r="CX1344" s="4"/>
      <c r="CY1344" s="4"/>
      <c r="CZ1344" s="4"/>
      <c r="DA1344" s="4"/>
      <c r="DB1344" s="4"/>
      <c r="DC1344" s="4"/>
      <c r="DD1344" s="4"/>
      <c r="DE1344" s="4"/>
      <c r="DF1344" s="4"/>
      <c r="DG1344" s="4"/>
      <c r="DH1344" s="4"/>
      <c r="DI1344" s="4"/>
      <c r="DJ1344" s="4"/>
      <c r="DK1344" s="4"/>
      <c r="DL1344" s="4"/>
      <c r="DM1344" s="4"/>
      <c r="DN1344" s="4"/>
      <c r="DO1344" s="4"/>
      <c r="DP1344" s="4"/>
      <c r="DQ1344" s="4"/>
      <c r="DR1344" s="4"/>
      <c r="DS1344" s="4"/>
      <c r="DT1344" s="4"/>
      <c r="DU1344" s="4"/>
      <c r="DV1344" s="4"/>
      <c r="DW1344" s="4"/>
      <c r="DX1344" s="4"/>
      <c r="DY1344" s="4"/>
      <c r="DZ1344" s="4"/>
      <c r="EA1344" s="4"/>
      <c r="EB1344" s="4"/>
    </row>
    <row r="1345" spans="1:150" hidden="1">
      <c r="A1345" s="11" t="s">
        <v>9940</v>
      </c>
      <c r="B1345" s="3" t="s">
        <v>8373</v>
      </c>
      <c r="C1345" s="3">
        <v>2009</v>
      </c>
      <c r="D1345" s="3" t="s">
        <v>7319</v>
      </c>
      <c r="E1345" s="3" t="s">
        <v>8750</v>
      </c>
      <c r="F1345" s="3">
        <v>1</v>
      </c>
      <c r="G1345" s="3"/>
      <c r="H1345" s="3" t="s">
        <v>7322</v>
      </c>
      <c r="I1345" s="3"/>
      <c r="J1345" s="3"/>
      <c r="K1345" s="3" t="s">
        <v>6614</v>
      </c>
      <c r="L1345" s="4"/>
      <c r="M1345" s="3">
        <v>17901391</v>
      </c>
      <c r="T1345" s="4"/>
      <c r="V1345" s="3"/>
      <c r="W1345" s="3"/>
      <c r="X1345" s="5" t="s">
        <v>7323</v>
      </c>
      <c r="Y1345" s="5"/>
      <c r="Z1345" s="3">
        <v>1</v>
      </c>
      <c r="AA1345" s="4"/>
      <c r="AB1345" s="3"/>
      <c r="AE1345" s="3"/>
      <c r="AF1345" s="3"/>
      <c r="AG1345" s="4"/>
      <c r="AH1345" s="4"/>
      <c r="AI1345" s="3"/>
      <c r="AJ1345" s="3"/>
      <c r="AK1345" s="3"/>
      <c r="AL1345" s="3"/>
      <c r="AM1345" s="3"/>
      <c r="AN1345" s="3"/>
      <c r="AO1345" s="4"/>
      <c r="AP1345" s="3"/>
      <c r="AQ1345" s="4"/>
      <c r="AR1345" s="3"/>
      <c r="AS1345" s="3"/>
      <c r="AT1345" s="4"/>
      <c r="AU1345" s="3"/>
      <c r="AV1345" s="4"/>
      <c r="AW1345" s="4"/>
      <c r="AX1345" s="4"/>
      <c r="AY1345" s="4"/>
      <c r="AZ1345" s="4"/>
      <c r="BA1345" s="4"/>
      <c r="BB1345" s="4"/>
      <c r="BC1345" s="4"/>
      <c r="BD1345" s="4"/>
      <c r="BE1345" s="4"/>
      <c r="BF1345" s="3"/>
      <c r="BG1345" s="3"/>
      <c r="BH1345" s="3"/>
      <c r="BI1345" s="4"/>
      <c r="BJ1345" s="3"/>
      <c r="BK1345" s="4"/>
      <c r="BL1345" s="4"/>
      <c r="BM1345" s="3"/>
      <c r="BN1345" s="4"/>
      <c r="BO1345" s="4"/>
      <c r="BP1345" s="4"/>
      <c r="BQ1345" s="4"/>
      <c r="BR1345" s="4"/>
      <c r="BS1345" s="4"/>
      <c r="BT1345" s="4"/>
      <c r="BU1345" s="4"/>
      <c r="BV1345" s="4"/>
      <c r="BW1345" s="4"/>
      <c r="BX1345" s="4"/>
      <c r="BY1345" s="4"/>
      <c r="BZ1345" s="4"/>
      <c r="CA1345" s="4"/>
      <c r="CB1345" s="4"/>
      <c r="CC1345" s="4"/>
      <c r="CD1345" s="4"/>
      <c r="CE1345" s="4"/>
      <c r="CF1345" s="4"/>
      <c r="CG1345" s="4"/>
      <c r="CH1345" s="4"/>
      <c r="CI1345" s="4"/>
      <c r="CJ1345" s="4"/>
      <c r="CK1345" s="4"/>
      <c r="CL1345" s="4"/>
      <c r="CM1345" s="4"/>
      <c r="CN1345" s="4"/>
      <c r="CO1345" s="4"/>
      <c r="CP1345" s="4"/>
      <c r="CQ1345" s="4"/>
      <c r="CR1345" s="4"/>
      <c r="CS1345" s="4"/>
      <c r="CT1345" s="4"/>
      <c r="CU1345" s="4"/>
      <c r="CV1345" s="4"/>
      <c r="CW1345" s="4"/>
      <c r="CX1345" s="4"/>
      <c r="CY1345" s="4"/>
      <c r="CZ1345" s="4"/>
      <c r="DA1345" s="4"/>
      <c r="DB1345" s="4"/>
      <c r="DC1345" s="4"/>
      <c r="DD1345" s="4"/>
      <c r="DE1345" s="4"/>
      <c r="DF1345" s="4"/>
      <c r="DG1345" s="3"/>
      <c r="DH1345" s="3"/>
      <c r="DI1345" s="8"/>
      <c r="DJ1345" s="4"/>
      <c r="DK1345" s="4"/>
      <c r="DL1345" s="4"/>
      <c r="DM1345" s="4"/>
      <c r="DN1345" s="8"/>
      <c r="DO1345" s="8"/>
      <c r="DP1345" s="8"/>
      <c r="DQ1345" s="8"/>
      <c r="DR1345" s="4"/>
      <c r="DS1345" s="4"/>
      <c r="DT1345" s="4"/>
      <c r="DU1345" s="4"/>
      <c r="DV1345" s="4"/>
      <c r="DW1345" s="4"/>
      <c r="DX1345" s="4"/>
      <c r="DY1345" s="4"/>
      <c r="DZ1345" s="4"/>
      <c r="EA1345" s="4"/>
      <c r="EB1345" s="4"/>
      <c r="EC1345" s="4"/>
      <c r="ED1345" s="4"/>
      <c r="EE1345" s="4"/>
      <c r="EF1345" s="4"/>
      <c r="EG1345" s="4"/>
      <c r="EH1345" s="4"/>
      <c r="EI1345" s="4"/>
      <c r="EJ1345" s="4"/>
      <c r="EK1345" s="4"/>
      <c r="EL1345" s="8"/>
      <c r="EM1345" s="8"/>
      <c r="EN1345" s="8"/>
      <c r="EO1345" s="8"/>
      <c r="EP1345" s="8"/>
      <c r="EQ1345" s="8"/>
      <c r="ER1345" s="4"/>
      <c r="ES1345" s="4"/>
      <c r="ET1345" s="4"/>
    </row>
    <row r="1346" spans="1:150" hidden="1">
      <c r="A1346" s="11" t="s">
        <v>9940</v>
      </c>
      <c r="B1346" s="3" t="s">
        <v>8373</v>
      </c>
      <c r="C1346" s="3">
        <v>2011</v>
      </c>
      <c r="D1346" s="3" t="s">
        <v>9476</v>
      </c>
      <c r="E1346" s="3" t="s">
        <v>9477</v>
      </c>
      <c r="F1346" s="3">
        <v>0</v>
      </c>
      <c r="G1346" s="3" t="s">
        <v>9237</v>
      </c>
      <c r="H1346" s="3" t="s">
        <v>9480</v>
      </c>
      <c r="I1346" s="3"/>
      <c r="J1346" s="3"/>
      <c r="K1346" s="3" t="s">
        <v>470</v>
      </c>
      <c r="L1346" s="4"/>
      <c r="M1346" s="12">
        <v>11720</v>
      </c>
      <c r="T1346" s="3" t="s">
        <v>9478</v>
      </c>
      <c r="V1346" s="4"/>
      <c r="W1346" s="4"/>
      <c r="X1346" s="5" t="s">
        <v>9479</v>
      </c>
      <c r="Y1346" s="5"/>
      <c r="Z1346" s="4"/>
      <c r="AA1346" s="4"/>
      <c r="AB1346" s="4"/>
      <c r="AE1346" s="4"/>
      <c r="AF1346" s="4"/>
      <c r="AG1346" s="3"/>
      <c r="AH1346" s="3"/>
      <c r="AI1346" s="3"/>
      <c r="AJ1346" s="3"/>
      <c r="AK1346" s="4"/>
      <c r="AL1346" s="3"/>
      <c r="AM1346" s="4"/>
      <c r="AN1346" s="3"/>
      <c r="AO1346" s="3"/>
      <c r="AP1346" s="4"/>
      <c r="AQ1346" s="3"/>
      <c r="AR1346" s="4"/>
      <c r="AS1346" s="4"/>
      <c r="AT1346" s="4"/>
      <c r="AU1346" s="4"/>
      <c r="AV1346" s="4"/>
      <c r="AW1346" s="4"/>
      <c r="AX1346" s="4"/>
      <c r="AY1346" s="4"/>
      <c r="AZ1346" s="4"/>
      <c r="BA1346" s="4"/>
      <c r="BB1346" s="3"/>
      <c r="BC1346" s="3"/>
      <c r="BD1346" s="3"/>
      <c r="BE1346" s="4"/>
      <c r="BF1346" s="3"/>
      <c r="BG1346" s="4"/>
      <c r="BH1346" s="4"/>
      <c r="BI1346" s="3"/>
      <c r="BJ1346" s="4"/>
      <c r="BK1346" s="4"/>
      <c r="BL1346" s="4"/>
      <c r="BM1346" s="4"/>
      <c r="BN1346" s="4"/>
      <c r="BO1346" s="4"/>
      <c r="BP1346" s="4"/>
      <c r="BQ1346" s="4"/>
      <c r="BR1346" s="4"/>
      <c r="BS1346" s="4"/>
      <c r="BT1346" s="4"/>
      <c r="BU1346" s="4"/>
      <c r="BV1346" s="4"/>
      <c r="BW1346" s="4"/>
      <c r="BX1346" s="4"/>
      <c r="BY1346" s="4"/>
      <c r="BZ1346" s="4"/>
      <c r="CA1346" s="4"/>
      <c r="CB1346" s="4"/>
      <c r="CC1346" s="4"/>
      <c r="CD1346" s="4"/>
      <c r="CE1346" s="4"/>
      <c r="CF1346" s="4"/>
      <c r="CG1346" s="4"/>
      <c r="CH1346" s="4"/>
      <c r="CI1346" s="4"/>
      <c r="CJ1346" s="4"/>
      <c r="CK1346" s="3"/>
      <c r="CL1346" s="3"/>
      <c r="CM1346" s="4"/>
      <c r="CN1346" s="4"/>
      <c r="CO1346" s="4"/>
      <c r="CP1346" s="4"/>
      <c r="CQ1346" s="4"/>
      <c r="CR1346" s="4"/>
      <c r="CS1346" s="4"/>
      <c r="CT1346" s="4"/>
      <c r="CU1346" s="4"/>
      <c r="CV1346" s="4"/>
      <c r="CW1346" s="4"/>
      <c r="CX1346" s="4"/>
      <c r="CY1346" s="4"/>
      <c r="CZ1346" s="4"/>
      <c r="DA1346" s="4"/>
      <c r="DB1346" s="4"/>
      <c r="DC1346" s="4"/>
      <c r="DD1346" s="4"/>
      <c r="DE1346" s="4"/>
      <c r="DF1346" s="4"/>
      <c r="DG1346" s="4"/>
      <c r="DH1346" s="4"/>
      <c r="DI1346" s="4"/>
      <c r="DJ1346" s="4"/>
      <c r="DK1346" s="4"/>
      <c r="DL1346" s="4"/>
      <c r="DM1346" s="4"/>
      <c r="DN1346" s="4"/>
      <c r="DO1346" s="4"/>
      <c r="DP1346" s="4"/>
      <c r="DQ1346" s="4"/>
      <c r="DR1346" s="4"/>
      <c r="DS1346" s="4"/>
      <c r="DT1346" s="4"/>
      <c r="DU1346" s="4"/>
      <c r="DV1346" s="4"/>
      <c r="DW1346" s="4"/>
      <c r="DX1346" s="4"/>
    </row>
    <row r="1347" spans="1:150" hidden="1">
      <c r="A1347" s="11" t="s">
        <v>9940</v>
      </c>
      <c r="B1347" s="3" t="s">
        <v>8373</v>
      </c>
      <c r="C1347" s="3">
        <v>2009</v>
      </c>
      <c r="D1347" s="3" t="s">
        <v>3854</v>
      </c>
      <c r="E1347" s="3" t="s">
        <v>9481</v>
      </c>
      <c r="F1347" s="3">
        <v>0</v>
      </c>
      <c r="G1347" s="3" t="s">
        <v>9249</v>
      </c>
      <c r="H1347" s="3" t="s">
        <v>9482</v>
      </c>
      <c r="I1347" s="3"/>
      <c r="J1347" s="3"/>
      <c r="K1347" s="3" t="s">
        <v>3855</v>
      </c>
      <c r="L1347" s="4"/>
      <c r="M1347" s="12">
        <v>22433</v>
      </c>
      <c r="T1347" s="4"/>
      <c r="V1347" s="4"/>
      <c r="W1347" s="4"/>
      <c r="X1347" s="5" t="s">
        <v>3859</v>
      </c>
      <c r="Y1347" s="5"/>
      <c r="Z1347" s="4"/>
      <c r="AA1347" s="4"/>
      <c r="AB1347" s="4"/>
      <c r="AE1347" s="4"/>
      <c r="AF1347" s="4"/>
      <c r="AG1347" s="3"/>
      <c r="AH1347" s="3"/>
      <c r="AI1347" s="3"/>
      <c r="AJ1347" s="3"/>
      <c r="AK1347" s="4"/>
      <c r="AL1347" s="3"/>
      <c r="AM1347" s="4"/>
      <c r="AN1347" s="3"/>
      <c r="AO1347" s="3"/>
      <c r="AP1347" s="4"/>
      <c r="AQ1347" s="3"/>
      <c r="AR1347" s="4"/>
      <c r="AS1347" s="4"/>
      <c r="AT1347" s="4"/>
      <c r="AU1347" s="4"/>
      <c r="AV1347" s="4"/>
      <c r="AW1347" s="4"/>
      <c r="AX1347" s="4"/>
      <c r="AY1347" s="4"/>
      <c r="AZ1347" s="4"/>
      <c r="BA1347" s="4"/>
      <c r="BB1347" s="3"/>
      <c r="BC1347" s="3"/>
      <c r="BD1347" s="3"/>
      <c r="BE1347" s="4"/>
      <c r="BF1347" s="3"/>
      <c r="BG1347" s="4"/>
      <c r="BH1347" s="4"/>
      <c r="BI1347" s="3"/>
      <c r="BJ1347" s="4"/>
      <c r="BK1347" s="4"/>
      <c r="BL1347" s="4"/>
      <c r="BM1347" s="4"/>
      <c r="BN1347" s="4"/>
      <c r="BO1347" s="4"/>
      <c r="BP1347" s="4"/>
      <c r="BQ1347" s="4"/>
      <c r="BR1347" s="4"/>
      <c r="BS1347" s="4"/>
      <c r="BT1347" s="4"/>
      <c r="BU1347" s="4"/>
      <c r="BV1347" s="4"/>
      <c r="BW1347" s="4"/>
      <c r="BX1347" s="4"/>
      <c r="BY1347" s="4"/>
      <c r="BZ1347" s="4"/>
      <c r="CA1347" s="4"/>
      <c r="CB1347" s="4"/>
      <c r="CC1347" s="4"/>
      <c r="CD1347" s="4"/>
      <c r="CE1347" s="4"/>
      <c r="CF1347" s="4"/>
      <c r="CG1347" s="4"/>
      <c r="CH1347" s="4"/>
      <c r="CI1347" s="4"/>
      <c r="CJ1347" s="4"/>
      <c r="CK1347" s="4"/>
      <c r="CL1347" s="4"/>
      <c r="CM1347" s="4"/>
      <c r="CN1347" s="4"/>
      <c r="CO1347" s="4"/>
      <c r="CP1347" s="4"/>
      <c r="CQ1347" s="4"/>
      <c r="CR1347" s="4"/>
      <c r="CS1347" s="4"/>
      <c r="CT1347" s="3"/>
      <c r="CU1347" s="3"/>
      <c r="CV1347" s="4"/>
      <c r="CW1347" s="4"/>
      <c r="CX1347" s="4"/>
      <c r="CY1347" s="4"/>
      <c r="CZ1347" s="4"/>
      <c r="DA1347" s="4"/>
      <c r="DB1347" s="4"/>
      <c r="DC1347" s="4"/>
      <c r="DD1347" s="4"/>
      <c r="DE1347" s="4"/>
      <c r="DF1347" s="4"/>
      <c r="DG1347" s="4"/>
      <c r="DH1347" s="4"/>
      <c r="DI1347" s="4"/>
      <c r="DJ1347" s="4"/>
      <c r="DK1347" s="4"/>
      <c r="DL1347" s="4"/>
      <c r="DM1347" s="4"/>
      <c r="DN1347" s="4"/>
      <c r="DO1347" s="4"/>
      <c r="DP1347" s="4"/>
      <c r="DQ1347" s="4"/>
      <c r="DR1347" s="4"/>
      <c r="DS1347" s="4"/>
      <c r="DT1347" s="4"/>
      <c r="DU1347" s="4"/>
      <c r="DV1347" s="4"/>
      <c r="DW1347" s="4"/>
      <c r="DX1347" s="4"/>
      <c r="DY1347" s="4"/>
      <c r="DZ1347" s="4"/>
      <c r="EA1347" s="4"/>
      <c r="EB1347" s="4"/>
      <c r="EC1347" s="4"/>
      <c r="ED1347" s="4"/>
      <c r="EE1347" s="4"/>
      <c r="EF1347" s="4"/>
      <c r="EG1347" s="4"/>
    </row>
    <row r="1348" spans="1:150" hidden="1">
      <c r="A1348" s="11" t="s">
        <v>9940</v>
      </c>
      <c r="B1348" s="3" t="s">
        <v>8373</v>
      </c>
      <c r="C1348" s="3">
        <v>2017</v>
      </c>
      <c r="D1348" s="3" t="s">
        <v>1151</v>
      </c>
      <c r="E1348" s="3" t="s">
        <v>8752</v>
      </c>
      <c r="F1348" s="3">
        <v>1</v>
      </c>
      <c r="G1348" s="3"/>
      <c r="H1348" s="3" t="s">
        <v>1184</v>
      </c>
      <c r="I1348" s="3"/>
      <c r="J1348" s="3"/>
      <c r="K1348" s="3" t="s">
        <v>1180</v>
      </c>
      <c r="L1348" s="4"/>
      <c r="M1348" s="3" t="s">
        <v>8753</v>
      </c>
      <c r="T1348" s="3" t="s">
        <v>1182</v>
      </c>
      <c r="V1348" s="3"/>
      <c r="W1348" s="3"/>
      <c r="X1348" s="5" t="s">
        <v>1185</v>
      </c>
      <c r="Y1348" s="5"/>
      <c r="Z1348" s="3">
        <v>1</v>
      </c>
      <c r="AA1348" s="4"/>
      <c r="AB1348" s="3"/>
      <c r="AE1348" s="3"/>
      <c r="AF1348" s="3"/>
      <c r="AG1348" s="4"/>
      <c r="AH1348" s="4"/>
      <c r="AI1348" s="4"/>
      <c r="AJ1348" s="4"/>
      <c r="AK1348" s="3"/>
      <c r="AL1348" s="3"/>
      <c r="AM1348" s="3"/>
      <c r="AN1348" s="3"/>
      <c r="AO1348" s="4"/>
      <c r="AP1348" s="3"/>
      <c r="AQ1348" s="4"/>
      <c r="AR1348" s="3"/>
      <c r="AS1348" s="3"/>
      <c r="AT1348" s="4"/>
      <c r="AU1348" s="3"/>
      <c r="AV1348" s="4"/>
      <c r="AW1348" s="4"/>
      <c r="AX1348" s="4"/>
      <c r="AY1348" s="4"/>
      <c r="AZ1348" s="4"/>
      <c r="BA1348" s="4"/>
      <c r="BB1348" s="4"/>
      <c r="BC1348" s="4"/>
      <c r="BD1348" s="4"/>
      <c r="BE1348" s="4"/>
      <c r="BF1348" s="3"/>
      <c r="BG1348" s="3"/>
      <c r="BH1348" s="3"/>
      <c r="BI1348" s="4"/>
      <c r="BJ1348" s="3"/>
      <c r="BK1348" s="4"/>
      <c r="BL1348" s="4"/>
      <c r="BM1348" s="3"/>
      <c r="BN1348" s="4"/>
      <c r="BO1348" s="4"/>
      <c r="BP1348" s="4"/>
      <c r="BQ1348" s="4"/>
      <c r="BR1348" s="4"/>
      <c r="BS1348" s="4"/>
      <c r="BT1348" s="4"/>
      <c r="BU1348" s="4"/>
      <c r="BV1348" s="4"/>
      <c r="BW1348" s="4"/>
      <c r="BX1348" s="4"/>
      <c r="BY1348" s="4"/>
      <c r="BZ1348" s="4"/>
      <c r="CA1348" s="4"/>
      <c r="CB1348" s="4"/>
      <c r="CC1348" s="4"/>
      <c r="CD1348" s="4"/>
      <c r="CE1348" s="4"/>
      <c r="CF1348" s="4"/>
      <c r="CG1348" s="4"/>
      <c r="CH1348" s="4"/>
      <c r="CI1348" s="4"/>
      <c r="CJ1348" s="4"/>
      <c r="CK1348" s="4"/>
      <c r="CL1348" s="4"/>
      <c r="CM1348" s="4"/>
      <c r="CN1348" s="4"/>
      <c r="CO1348" s="4"/>
      <c r="CP1348" s="4"/>
      <c r="CQ1348" s="4"/>
      <c r="CR1348" s="4"/>
      <c r="CS1348" s="4"/>
      <c r="CT1348" s="4"/>
      <c r="CU1348" s="4"/>
      <c r="CV1348" s="4"/>
      <c r="CW1348" s="4"/>
      <c r="CX1348" s="4"/>
      <c r="CY1348" s="4"/>
      <c r="CZ1348" s="4"/>
      <c r="DA1348" s="4"/>
      <c r="DB1348" s="4"/>
      <c r="DC1348" s="4"/>
      <c r="DD1348" s="3"/>
      <c r="DE1348" s="3"/>
      <c r="DF1348" s="8"/>
      <c r="DG1348" s="4"/>
      <c r="DH1348" s="4"/>
      <c r="DI1348" s="4"/>
      <c r="DJ1348" s="4"/>
      <c r="DK1348" s="8"/>
      <c r="DL1348" s="8"/>
      <c r="DM1348" s="8"/>
      <c r="DN1348" s="8"/>
      <c r="DO1348" s="4"/>
      <c r="DP1348" s="4"/>
      <c r="DQ1348" s="4"/>
      <c r="DR1348" s="4"/>
      <c r="DS1348" s="4"/>
      <c r="DT1348" s="4"/>
      <c r="DU1348" s="4"/>
      <c r="DV1348" s="4"/>
      <c r="DW1348" s="4"/>
      <c r="DX1348" s="4"/>
      <c r="DY1348" s="4"/>
      <c r="DZ1348" s="4"/>
      <c r="EA1348" s="4"/>
      <c r="EB1348" s="4"/>
      <c r="EC1348" s="4"/>
      <c r="ED1348" s="4"/>
      <c r="EE1348" s="4"/>
      <c r="EF1348" s="4"/>
      <c r="EG1348" s="4"/>
      <c r="EH1348" s="4"/>
      <c r="EI1348" s="8"/>
      <c r="EJ1348" s="8"/>
      <c r="EK1348" s="8"/>
      <c r="EL1348" s="8"/>
      <c r="EM1348" s="8"/>
      <c r="EN1348" s="8"/>
      <c r="EO1348" s="4"/>
      <c r="EP1348" s="4"/>
      <c r="EQ1348" s="4"/>
    </row>
    <row r="1349" spans="1:150" hidden="1">
      <c r="A1349" s="11" t="s">
        <v>9940</v>
      </c>
      <c r="B1349" s="3" t="s">
        <v>8379</v>
      </c>
      <c r="C1349" s="3">
        <v>2012</v>
      </c>
      <c r="D1349" s="3" t="s">
        <v>6386</v>
      </c>
      <c r="E1349" s="3" t="s">
        <v>8754</v>
      </c>
      <c r="F1349" s="3">
        <v>1</v>
      </c>
      <c r="G1349" s="4"/>
      <c r="H1349" s="3" t="s">
        <v>6389</v>
      </c>
      <c r="I1349" s="3"/>
      <c r="J1349" s="3"/>
      <c r="K1349" s="4"/>
      <c r="L1349" s="4"/>
      <c r="M1349" s="4"/>
      <c r="T1349" s="4"/>
      <c r="V1349" s="3"/>
      <c r="W1349" s="3"/>
      <c r="X1349" s="5" t="s">
        <v>6390</v>
      </c>
      <c r="Y1349" s="5"/>
      <c r="Z1349" s="3">
        <v>1</v>
      </c>
      <c r="AA1349" s="4"/>
      <c r="AB1349" s="3"/>
      <c r="AE1349" s="3"/>
      <c r="AF1349" s="3"/>
      <c r="AG1349" s="3"/>
      <c r="AH1349" s="4"/>
      <c r="AI1349" s="4"/>
      <c r="AJ1349" s="4"/>
      <c r="AK1349" s="3"/>
      <c r="AL1349" s="3"/>
      <c r="AM1349" s="3"/>
      <c r="AN1349" s="3"/>
      <c r="AO1349" s="4"/>
      <c r="AP1349" s="4"/>
      <c r="AQ1349" s="3"/>
      <c r="AR1349" s="4"/>
      <c r="AS1349" s="4"/>
      <c r="AT1349" s="4"/>
      <c r="AU1349" s="4"/>
      <c r="AV1349" s="4"/>
      <c r="AW1349" s="4"/>
      <c r="AX1349" s="4"/>
      <c r="AY1349" s="4"/>
      <c r="AZ1349" s="4"/>
      <c r="BA1349" s="3"/>
      <c r="BB1349" s="4"/>
      <c r="BC1349" s="3"/>
      <c r="BD1349" s="3"/>
      <c r="BE1349" s="3"/>
      <c r="BF1349" s="4"/>
      <c r="BG1349" s="3"/>
      <c r="BH1349" s="3"/>
      <c r="BI1349" s="4"/>
      <c r="BJ1349" s="4"/>
      <c r="BK1349" s="4"/>
      <c r="BL1349" s="4"/>
      <c r="BM1349" s="4"/>
      <c r="BN1349" s="4"/>
      <c r="BO1349" s="4"/>
      <c r="BP1349" s="4"/>
      <c r="BQ1349" s="4"/>
      <c r="BR1349" s="4"/>
      <c r="BS1349" s="4"/>
      <c r="BT1349" s="4"/>
      <c r="BU1349" s="4"/>
      <c r="BV1349" s="4"/>
      <c r="BW1349" s="4"/>
      <c r="BX1349" s="4"/>
      <c r="BY1349" s="4"/>
      <c r="BZ1349" s="4"/>
      <c r="CA1349" s="4"/>
      <c r="CB1349" s="4"/>
      <c r="CC1349" s="4"/>
      <c r="CD1349" s="4"/>
      <c r="CE1349" s="4"/>
      <c r="CF1349" s="4"/>
      <c r="CG1349" s="4"/>
      <c r="CH1349" s="4"/>
      <c r="CI1349" s="4"/>
      <c r="CJ1349" s="4"/>
      <c r="CK1349" s="4"/>
      <c r="CL1349" s="4"/>
      <c r="CM1349" s="4"/>
      <c r="CN1349" s="4"/>
      <c r="CO1349" s="4"/>
      <c r="CP1349" s="4"/>
      <c r="CQ1349" s="4"/>
      <c r="CR1349" s="4"/>
      <c r="CS1349" s="4"/>
      <c r="CT1349" s="4"/>
      <c r="CU1349" s="4"/>
      <c r="CV1349" s="4"/>
      <c r="CW1349" s="4"/>
      <c r="CX1349" s="4"/>
      <c r="CY1349" s="3"/>
      <c r="CZ1349" s="3"/>
      <c r="DA1349" s="8"/>
      <c r="DB1349" s="4"/>
      <c r="DC1349" s="4"/>
      <c r="DD1349" s="4"/>
      <c r="DE1349" s="4"/>
      <c r="DF1349" s="8"/>
      <c r="DG1349" s="8"/>
      <c r="DH1349" s="8"/>
      <c r="DI1349" s="8"/>
      <c r="DJ1349" s="4"/>
      <c r="DK1349" s="4"/>
      <c r="DL1349" s="4"/>
      <c r="DM1349" s="4"/>
      <c r="DN1349" s="4"/>
      <c r="DO1349" s="4"/>
      <c r="DP1349" s="4"/>
      <c r="DQ1349" s="4"/>
      <c r="DR1349" s="4"/>
      <c r="DS1349" s="4"/>
      <c r="DT1349" s="4"/>
      <c r="DU1349" s="4"/>
      <c r="DV1349" s="4"/>
      <c r="DW1349" s="4"/>
      <c r="DX1349" s="4"/>
      <c r="DY1349" s="4"/>
      <c r="DZ1349" s="4"/>
      <c r="EA1349" s="4"/>
      <c r="EB1349" s="4"/>
      <c r="EC1349" s="4"/>
      <c r="ED1349" s="8"/>
      <c r="EE1349" s="8"/>
      <c r="EF1349" s="8"/>
      <c r="EG1349" s="8"/>
      <c r="EH1349" s="8"/>
      <c r="EI1349" s="8"/>
      <c r="EJ1349" s="4"/>
      <c r="EK1349" s="4"/>
      <c r="EL1349" s="4"/>
    </row>
    <row r="1350" spans="1:150" hidden="1">
      <c r="A1350" s="11" t="s">
        <v>9940</v>
      </c>
      <c r="B1350" s="3" t="s">
        <v>8373</v>
      </c>
      <c r="C1350" s="3">
        <v>2012</v>
      </c>
      <c r="D1350" s="3" t="s">
        <v>1670</v>
      </c>
      <c r="E1350" s="3" t="s">
        <v>8755</v>
      </c>
      <c r="F1350" s="3">
        <v>1</v>
      </c>
      <c r="G1350" s="3"/>
      <c r="H1350" s="3" t="s">
        <v>8756</v>
      </c>
      <c r="I1350" s="3"/>
      <c r="J1350" s="3"/>
      <c r="K1350" s="3" t="s">
        <v>132</v>
      </c>
      <c r="L1350" s="4"/>
      <c r="M1350" s="3" t="s">
        <v>8382</v>
      </c>
      <c r="T1350" s="3" t="s">
        <v>1672</v>
      </c>
      <c r="V1350" s="3"/>
      <c r="W1350" s="4"/>
      <c r="X1350" s="5" t="s">
        <v>1675</v>
      </c>
      <c r="Y1350" s="5"/>
      <c r="Z1350" s="3">
        <v>1</v>
      </c>
      <c r="AA1350" s="4"/>
      <c r="AB1350" s="4"/>
      <c r="AE1350" s="3"/>
      <c r="AF1350" s="3"/>
      <c r="AG1350" s="4"/>
      <c r="AH1350" s="4"/>
      <c r="AI1350" s="4"/>
      <c r="AJ1350" s="4"/>
      <c r="AK1350" s="3"/>
      <c r="AL1350" s="3"/>
      <c r="AM1350" s="3"/>
      <c r="AN1350" s="3"/>
      <c r="AO1350" s="4"/>
      <c r="AP1350" s="3"/>
      <c r="AQ1350" s="4"/>
      <c r="AR1350" s="3"/>
      <c r="AS1350" s="3"/>
      <c r="AT1350" s="4"/>
      <c r="AU1350" s="3"/>
      <c r="AV1350" s="4"/>
      <c r="AW1350" s="4"/>
      <c r="AX1350" s="4"/>
      <c r="AY1350" s="4"/>
      <c r="AZ1350" s="4"/>
      <c r="BA1350" s="4"/>
      <c r="BB1350" s="4"/>
      <c r="BC1350" s="4"/>
      <c r="BD1350" s="4"/>
      <c r="BE1350" s="4"/>
      <c r="BF1350" s="3"/>
      <c r="BG1350" s="3"/>
      <c r="BH1350" s="3"/>
      <c r="BI1350" s="4"/>
      <c r="BJ1350" s="3"/>
      <c r="BK1350" s="4"/>
      <c r="BL1350" s="4"/>
      <c r="BM1350" s="3"/>
      <c r="BN1350" s="4"/>
      <c r="BO1350" s="4"/>
      <c r="BP1350" s="4"/>
      <c r="BQ1350" s="4"/>
      <c r="BR1350" s="4"/>
      <c r="BS1350" s="4"/>
      <c r="BT1350" s="4"/>
      <c r="BU1350" s="4"/>
      <c r="BV1350" s="4"/>
      <c r="BW1350" s="4"/>
      <c r="BX1350" s="4"/>
      <c r="BY1350" s="4"/>
      <c r="BZ1350" s="4"/>
      <c r="CA1350" s="4"/>
      <c r="CB1350" s="4"/>
      <c r="CC1350" s="4"/>
      <c r="CD1350" s="4"/>
      <c r="CE1350" s="4"/>
      <c r="CF1350" s="4"/>
      <c r="CG1350" s="4"/>
      <c r="CH1350" s="4"/>
      <c r="CI1350" s="4"/>
      <c r="CJ1350" s="4"/>
      <c r="CK1350" s="4"/>
      <c r="CL1350" s="4"/>
      <c r="CM1350" s="4"/>
      <c r="CN1350" s="4"/>
      <c r="CO1350" s="4"/>
      <c r="CP1350" s="4"/>
      <c r="CQ1350" s="4"/>
      <c r="CR1350" s="4"/>
      <c r="CS1350" s="4"/>
      <c r="CT1350" s="4"/>
      <c r="CU1350" s="4"/>
      <c r="CV1350" s="4"/>
      <c r="CW1350" s="4"/>
      <c r="CX1350" s="4"/>
      <c r="CY1350" s="3"/>
      <c r="CZ1350" s="3"/>
      <c r="DA1350" s="8"/>
      <c r="DB1350" s="4"/>
      <c r="DC1350" s="4"/>
      <c r="DD1350" s="4"/>
      <c r="DE1350" s="4"/>
      <c r="DF1350" s="8"/>
      <c r="DG1350" s="8"/>
      <c r="DH1350" s="8"/>
      <c r="DI1350" s="8"/>
      <c r="DJ1350" s="4"/>
      <c r="DK1350" s="4"/>
      <c r="DL1350" s="4"/>
      <c r="DM1350" s="4"/>
      <c r="DN1350" s="4"/>
      <c r="DO1350" s="4"/>
      <c r="DP1350" s="4"/>
      <c r="DQ1350" s="4"/>
      <c r="DR1350" s="4"/>
      <c r="DS1350" s="4"/>
      <c r="DT1350" s="4"/>
      <c r="DU1350" s="4"/>
      <c r="DV1350" s="4"/>
      <c r="DW1350" s="4"/>
      <c r="DX1350" s="4"/>
      <c r="DY1350" s="4"/>
      <c r="DZ1350" s="4"/>
      <c r="EA1350" s="4"/>
      <c r="EB1350" s="4"/>
      <c r="EC1350" s="4"/>
      <c r="ED1350" s="8"/>
      <c r="EE1350" s="8"/>
      <c r="EF1350" s="8"/>
      <c r="EG1350" s="8"/>
      <c r="EH1350" s="8"/>
      <c r="EI1350" s="8"/>
      <c r="EJ1350" s="4"/>
      <c r="EK1350" s="4"/>
      <c r="EL1350" s="4"/>
    </row>
    <row r="1351" spans="1:150" hidden="1">
      <c r="A1351" s="11" t="s">
        <v>9940</v>
      </c>
      <c r="B1351" s="3" t="s">
        <v>8373</v>
      </c>
      <c r="C1351" s="3">
        <v>2009</v>
      </c>
      <c r="D1351" s="3" t="s">
        <v>773</v>
      </c>
      <c r="E1351" s="3" t="s">
        <v>8757</v>
      </c>
      <c r="F1351" s="3">
        <v>1</v>
      </c>
      <c r="G1351" s="3"/>
      <c r="H1351" s="3" t="s">
        <v>777</v>
      </c>
      <c r="I1351" s="3"/>
      <c r="J1351" s="3"/>
      <c r="K1351" s="3" t="s">
        <v>252</v>
      </c>
      <c r="L1351" s="4"/>
      <c r="M1351" s="3" t="s">
        <v>8427</v>
      </c>
      <c r="T1351" s="3" t="s">
        <v>775</v>
      </c>
      <c r="V1351" s="3"/>
      <c r="W1351" s="3"/>
      <c r="X1351" s="5" t="s">
        <v>778</v>
      </c>
      <c r="Y1351" s="5"/>
      <c r="Z1351" s="3">
        <v>1</v>
      </c>
      <c r="AA1351" s="4"/>
      <c r="AB1351" s="4"/>
      <c r="AE1351" s="3"/>
      <c r="AF1351" s="3"/>
      <c r="AG1351" s="4"/>
      <c r="AH1351" s="4"/>
      <c r="AI1351" s="4"/>
      <c r="AJ1351" s="4"/>
      <c r="AK1351" s="3"/>
      <c r="AL1351" s="3"/>
      <c r="AM1351" s="3"/>
      <c r="AN1351" s="3"/>
      <c r="AO1351" s="4"/>
      <c r="AP1351" s="3"/>
      <c r="AQ1351" s="4"/>
      <c r="AR1351" s="3"/>
      <c r="AS1351" s="3"/>
      <c r="AT1351" s="4"/>
      <c r="AU1351" s="3"/>
      <c r="AV1351" s="4"/>
      <c r="AW1351" s="4"/>
      <c r="AX1351" s="4"/>
      <c r="AY1351" s="4"/>
      <c r="AZ1351" s="4"/>
      <c r="BA1351" s="4"/>
      <c r="BB1351" s="4"/>
      <c r="BC1351" s="4"/>
      <c r="BD1351" s="4"/>
      <c r="BE1351" s="4"/>
      <c r="BF1351" s="3"/>
      <c r="BG1351" s="3"/>
      <c r="BH1351" s="3"/>
      <c r="BI1351" s="4"/>
      <c r="BJ1351" s="3"/>
      <c r="BK1351" s="4"/>
      <c r="BL1351" s="4"/>
      <c r="BM1351" s="3"/>
      <c r="BN1351" s="4"/>
      <c r="BO1351" s="4"/>
      <c r="BP1351" s="4"/>
      <c r="BQ1351" s="4"/>
      <c r="BR1351" s="4"/>
      <c r="BS1351" s="4"/>
      <c r="BT1351" s="4"/>
      <c r="BU1351" s="4"/>
      <c r="BV1351" s="4"/>
      <c r="BW1351" s="4"/>
      <c r="BX1351" s="4"/>
      <c r="BY1351" s="4"/>
      <c r="BZ1351" s="4"/>
      <c r="CA1351" s="4"/>
      <c r="CB1351" s="4"/>
      <c r="CC1351" s="4"/>
      <c r="CD1351" s="4"/>
      <c r="CE1351" s="4"/>
      <c r="CF1351" s="4"/>
      <c r="CG1351" s="4"/>
      <c r="CH1351" s="4"/>
      <c r="CI1351" s="4"/>
      <c r="CJ1351" s="4"/>
      <c r="CK1351" s="4"/>
      <c r="CL1351" s="4"/>
      <c r="CM1351" s="4"/>
      <c r="CN1351" s="4"/>
      <c r="CO1351" s="4"/>
      <c r="CP1351" s="4"/>
      <c r="CQ1351" s="4"/>
      <c r="CR1351" s="4"/>
      <c r="CS1351" s="4"/>
      <c r="CT1351" s="4"/>
      <c r="CU1351" s="4"/>
      <c r="CV1351" s="4"/>
      <c r="CW1351" s="4"/>
      <c r="CX1351" s="4"/>
      <c r="CY1351" s="4"/>
      <c r="CZ1351" s="4"/>
      <c r="DA1351" s="4"/>
      <c r="DB1351" s="4"/>
      <c r="DC1351" s="4"/>
      <c r="DD1351" s="4"/>
      <c r="DE1351" s="3"/>
      <c r="DF1351" s="3"/>
      <c r="DG1351" s="8"/>
      <c r="DH1351" s="4"/>
      <c r="DI1351" s="4"/>
      <c r="DJ1351" s="4"/>
      <c r="DK1351" s="4"/>
      <c r="DL1351" s="8"/>
      <c r="DM1351" s="8"/>
      <c r="DN1351" s="8"/>
      <c r="DO1351" s="8"/>
      <c r="DP1351" s="4"/>
      <c r="DQ1351" s="4"/>
      <c r="DR1351" s="4"/>
      <c r="DS1351" s="4"/>
      <c r="DT1351" s="4"/>
      <c r="DU1351" s="4"/>
      <c r="DV1351" s="4"/>
      <c r="DW1351" s="4"/>
      <c r="DX1351" s="4"/>
      <c r="DY1351" s="4"/>
      <c r="DZ1351" s="4"/>
      <c r="EA1351" s="4"/>
      <c r="EB1351" s="4"/>
      <c r="EC1351" s="4"/>
      <c r="ED1351" s="4"/>
      <c r="EE1351" s="4"/>
      <c r="EF1351" s="4"/>
      <c r="EG1351" s="4"/>
      <c r="EH1351" s="4"/>
      <c r="EI1351" s="4"/>
      <c r="EJ1351" s="8"/>
      <c r="EK1351" s="8"/>
      <c r="EL1351" s="8"/>
      <c r="EM1351" s="8"/>
      <c r="EN1351" s="8"/>
      <c r="EO1351" s="8"/>
      <c r="EP1351" s="4"/>
      <c r="EQ1351" s="4"/>
      <c r="ER1351" s="4"/>
    </row>
    <row r="1352" spans="1:150" hidden="1">
      <c r="A1352" s="11" t="s">
        <v>9940</v>
      </c>
      <c r="B1352" s="3" t="s">
        <v>8379</v>
      </c>
      <c r="C1352" s="3">
        <v>2018</v>
      </c>
      <c r="D1352" s="3" t="s">
        <v>9483</v>
      </c>
      <c r="E1352" s="3" t="s">
        <v>9484</v>
      </c>
      <c r="F1352" s="3">
        <v>1</v>
      </c>
      <c r="G1352" s="4"/>
      <c r="H1352" s="3" t="s">
        <v>9486</v>
      </c>
      <c r="I1352" s="3"/>
      <c r="J1352" s="3"/>
      <c r="K1352" s="4"/>
      <c r="L1352" s="4"/>
      <c r="M1352" s="4"/>
      <c r="T1352" s="4"/>
      <c r="V1352" s="3"/>
      <c r="W1352" s="3"/>
      <c r="X1352" s="5" t="s">
        <v>9485</v>
      </c>
      <c r="Y1352" s="5"/>
      <c r="Z1352" s="3">
        <v>0</v>
      </c>
      <c r="AA1352" s="3" t="s">
        <v>9178</v>
      </c>
      <c r="AB1352" s="4"/>
      <c r="AE1352" s="3"/>
      <c r="AF1352" s="4"/>
      <c r="AG1352" s="4"/>
      <c r="AH1352" s="4"/>
      <c r="AI1352" s="4"/>
      <c r="AJ1352" s="4"/>
      <c r="AK1352" s="3"/>
      <c r="AL1352" s="3"/>
      <c r="AM1352" s="3"/>
      <c r="AN1352" s="3"/>
      <c r="AO1352" s="4"/>
      <c r="AP1352" s="4"/>
      <c r="AQ1352" s="4"/>
      <c r="AR1352" s="4"/>
      <c r="AS1352" s="4"/>
      <c r="AT1352" s="4"/>
      <c r="AU1352" s="4"/>
      <c r="AV1352" s="4"/>
      <c r="AW1352" s="4"/>
      <c r="AX1352" s="4"/>
      <c r="AY1352" s="4"/>
      <c r="AZ1352" s="4"/>
      <c r="BA1352" s="3"/>
      <c r="BB1352" s="4"/>
      <c r="BC1352" s="3"/>
      <c r="BD1352" s="3"/>
      <c r="BE1352" s="3"/>
      <c r="BF1352" s="4"/>
      <c r="BG1352" s="3"/>
      <c r="BH1352" s="3"/>
      <c r="BI1352" s="4"/>
      <c r="BJ1352" s="4"/>
      <c r="BK1352" s="4"/>
      <c r="BL1352" s="4"/>
      <c r="BM1352" s="4"/>
      <c r="BN1352" s="4"/>
      <c r="BO1352" s="4"/>
      <c r="BP1352" s="4"/>
      <c r="BQ1352" s="4"/>
      <c r="BR1352" s="4"/>
      <c r="BS1352" s="4"/>
      <c r="BT1352" s="4"/>
      <c r="BU1352" s="4"/>
      <c r="BV1352" s="4"/>
      <c r="BW1352" s="4"/>
      <c r="BX1352" s="4"/>
      <c r="BY1352" s="4"/>
      <c r="BZ1352" s="4"/>
      <c r="CA1352" s="4"/>
      <c r="CB1352" s="4"/>
      <c r="CC1352" s="4"/>
      <c r="CD1352" s="4"/>
      <c r="CE1352" s="4"/>
      <c r="CF1352" s="4"/>
      <c r="CG1352" s="4"/>
      <c r="CH1352" s="4"/>
      <c r="CI1352" s="4"/>
      <c r="CJ1352" s="4"/>
      <c r="CK1352" s="4"/>
      <c r="CL1352" s="4"/>
      <c r="CM1352" s="4"/>
      <c r="CN1352" s="4"/>
      <c r="CO1352" s="4"/>
      <c r="CP1352" s="4"/>
      <c r="CQ1352" s="4"/>
      <c r="CR1352" s="4"/>
      <c r="CS1352" s="4"/>
      <c r="CT1352" s="4"/>
      <c r="CU1352" s="4"/>
      <c r="CV1352" s="4"/>
      <c r="CW1352" s="4"/>
      <c r="CX1352" s="4"/>
      <c r="CY1352" s="4"/>
      <c r="CZ1352" s="4"/>
      <c r="DA1352" s="4"/>
      <c r="DB1352" s="3"/>
      <c r="DC1352" s="3"/>
      <c r="DD1352" s="4"/>
      <c r="DE1352" s="4"/>
      <c r="DF1352" s="4"/>
      <c r="DG1352" s="4"/>
      <c r="DH1352" s="4"/>
      <c r="DI1352" s="4"/>
      <c r="DJ1352" s="4"/>
      <c r="DK1352" s="4"/>
      <c r="DL1352" s="4"/>
      <c r="DM1352" s="4"/>
      <c r="DN1352" s="4"/>
      <c r="DO1352" s="4"/>
      <c r="DP1352" s="4"/>
      <c r="DQ1352" s="4"/>
      <c r="DR1352" s="4"/>
      <c r="DS1352" s="4"/>
      <c r="DT1352" s="4"/>
      <c r="DU1352" s="4"/>
      <c r="DV1352" s="4"/>
      <c r="DW1352" s="4"/>
      <c r="DX1352" s="4"/>
      <c r="DY1352" s="4"/>
      <c r="DZ1352" s="4"/>
      <c r="EA1352" s="4"/>
      <c r="EB1352" s="4"/>
      <c r="EC1352" s="4"/>
      <c r="ED1352" s="4"/>
      <c r="EE1352" s="4"/>
      <c r="EF1352" s="4"/>
      <c r="EG1352" s="4"/>
      <c r="EH1352" s="4"/>
      <c r="EI1352" s="4"/>
      <c r="EJ1352" s="4"/>
      <c r="EK1352" s="4"/>
      <c r="EL1352" s="4"/>
      <c r="EM1352" s="4"/>
      <c r="EN1352" s="4"/>
      <c r="EO1352" s="4"/>
    </row>
    <row r="1353" spans="1:150" hidden="1">
      <c r="A1353" s="11" t="s">
        <v>9940</v>
      </c>
      <c r="B1353" s="3" t="s">
        <v>8373</v>
      </c>
      <c r="C1353" s="3">
        <v>2004</v>
      </c>
      <c r="D1353" s="3" t="s">
        <v>8758</v>
      </c>
      <c r="E1353" s="3" t="s">
        <v>8759</v>
      </c>
      <c r="F1353" s="3">
        <v>1</v>
      </c>
      <c r="G1353" s="3"/>
      <c r="H1353" s="3" t="s">
        <v>8763</v>
      </c>
      <c r="I1353" s="3"/>
      <c r="J1353" s="3"/>
      <c r="K1353" s="3" t="s">
        <v>2037</v>
      </c>
      <c r="L1353" s="4"/>
      <c r="M1353" s="3" t="s">
        <v>8760</v>
      </c>
      <c r="T1353" s="3" t="s">
        <v>8761</v>
      </c>
      <c r="V1353" s="3"/>
      <c r="W1353" s="4"/>
      <c r="X1353" s="5" t="s">
        <v>8762</v>
      </c>
      <c r="Y1353" s="5"/>
      <c r="Z1353" s="3">
        <v>1</v>
      </c>
      <c r="AA1353" s="4"/>
      <c r="AB1353" s="4"/>
      <c r="AE1353" s="3"/>
      <c r="AF1353" s="3"/>
      <c r="AG1353" s="4"/>
      <c r="AH1353" s="4"/>
      <c r="AI1353" s="4"/>
      <c r="AJ1353" s="4"/>
      <c r="AK1353" s="3"/>
      <c r="AL1353" s="3"/>
      <c r="AM1353" s="3"/>
      <c r="AN1353" s="3"/>
      <c r="AO1353" s="4"/>
      <c r="AP1353" s="3"/>
      <c r="AQ1353" s="4"/>
      <c r="AR1353" s="3"/>
      <c r="AS1353" s="3"/>
      <c r="AT1353" s="4"/>
      <c r="AU1353" s="3"/>
      <c r="AV1353" s="4"/>
      <c r="AW1353" s="4"/>
      <c r="AX1353" s="4"/>
      <c r="AY1353" s="4"/>
      <c r="AZ1353" s="4"/>
      <c r="BA1353" s="4"/>
      <c r="BB1353" s="4"/>
      <c r="BC1353" s="4"/>
      <c r="BD1353" s="4"/>
      <c r="BE1353" s="4"/>
      <c r="BF1353" s="3"/>
      <c r="BG1353" s="3"/>
      <c r="BH1353" s="3"/>
      <c r="BI1353" s="4"/>
      <c r="BJ1353" s="3"/>
      <c r="BK1353" s="4"/>
      <c r="BL1353" s="3"/>
      <c r="BM1353" s="4"/>
      <c r="BN1353" s="4"/>
      <c r="BO1353" s="4"/>
      <c r="BP1353" s="4"/>
      <c r="BQ1353" s="4"/>
      <c r="BR1353" s="4"/>
      <c r="BS1353" s="4"/>
      <c r="BT1353" s="4"/>
      <c r="BU1353" s="4"/>
      <c r="BV1353" s="4"/>
      <c r="BW1353" s="4"/>
      <c r="BX1353" s="4"/>
      <c r="BY1353" s="4"/>
      <c r="BZ1353" s="4"/>
      <c r="CA1353" s="4"/>
      <c r="CB1353" s="4"/>
      <c r="CC1353" s="4"/>
      <c r="CD1353" s="4"/>
      <c r="CE1353" s="4"/>
      <c r="CF1353" s="4"/>
      <c r="CG1353" s="4"/>
      <c r="CH1353" s="4"/>
      <c r="CI1353" s="4"/>
      <c r="CJ1353" s="4"/>
      <c r="CK1353" s="4"/>
      <c r="CL1353" s="4"/>
      <c r="CM1353" s="4"/>
      <c r="CN1353" s="3"/>
      <c r="CO1353" s="3"/>
      <c r="CP1353" s="8"/>
      <c r="CQ1353" s="4"/>
      <c r="CR1353" s="4"/>
      <c r="CS1353" s="4"/>
      <c r="CT1353" s="4"/>
      <c r="CU1353" s="8"/>
      <c r="CV1353" s="8"/>
      <c r="CW1353" s="8"/>
      <c r="CX1353" s="8"/>
      <c r="CY1353" s="4"/>
      <c r="CZ1353" s="4"/>
      <c r="DA1353" s="4"/>
      <c r="DB1353" s="4"/>
      <c r="DC1353" s="4"/>
      <c r="DD1353" s="4"/>
      <c r="DE1353" s="4"/>
      <c r="DF1353" s="4"/>
      <c r="DG1353" s="4"/>
      <c r="DH1353" s="4"/>
      <c r="DI1353" s="4"/>
      <c r="DJ1353" s="4"/>
      <c r="DK1353" s="4"/>
      <c r="DL1353" s="4"/>
      <c r="DM1353" s="4"/>
      <c r="DN1353" s="4"/>
      <c r="DO1353" s="4"/>
      <c r="DP1353" s="4"/>
      <c r="DQ1353" s="4"/>
      <c r="DR1353" s="4"/>
      <c r="DS1353" s="8"/>
      <c r="DT1353" s="8"/>
      <c r="DU1353" s="8"/>
      <c r="DV1353" s="8"/>
      <c r="DW1353" s="8"/>
      <c r="DX1353" s="8"/>
      <c r="DY1353" s="4"/>
      <c r="DZ1353" s="4"/>
      <c r="EA1353" s="4"/>
    </row>
    <row r="1354" spans="1:150" hidden="1">
      <c r="A1354" s="11" t="s">
        <v>9940</v>
      </c>
      <c r="B1354" s="3" t="s">
        <v>8373</v>
      </c>
      <c r="C1354" s="3">
        <v>2010</v>
      </c>
      <c r="D1354" s="3" t="s">
        <v>5022</v>
      </c>
      <c r="E1354" s="3" t="s">
        <v>8764</v>
      </c>
      <c r="F1354" s="3">
        <v>1</v>
      </c>
      <c r="G1354" s="3"/>
      <c r="H1354" s="3" t="s">
        <v>8766</v>
      </c>
      <c r="I1354" s="3"/>
      <c r="J1354" s="3"/>
      <c r="K1354" s="3" t="s">
        <v>5023</v>
      </c>
      <c r="L1354" s="4"/>
      <c r="M1354" s="3" t="s">
        <v>8765</v>
      </c>
      <c r="T1354" s="3" t="s">
        <v>5025</v>
      </c>
      <c r="V1354" s="3"/>
      <c r="W1354" s="4"/>
      <c r="X1354" s="5" t="s">
        <v>5028</v>
      </c>
      <c r="Y1354" s="5"/>
      <c r="Z1354" s="3">
        <v>1</v>
      </c>
      <c r="AA1354" s="4"/>
      <c r="AB1354" s="4"/>
      <c r="AE1354" s="3"/>
      <c r="AF1354" s="3"/>
      <c r="AG1354" s="4"/>
      <c r="AH1354" s="4"/>
      <c r="AI1354" s="4"/>
      <c r="AJ1354" s="4"/>
      <c r="AK1354" s="3"/>
      <c r="AL1354" s="3"/>
      <c r="AM1354" s="3"/>
      <c r="AN1354" s="3"/>
      <c r="AO1354" s="4"/>
      <c r="AP1354" s="3"/>
      <c r="AQ1354" s="4"/>
      <c r="AR1354" s="3"/>
      <c r="AS1354" s="3"/>
      <c r="AT1354" s="4"/>
      <c r="AU1354" s="3"/>
      <c r="AV1354" s="4"/>
      <c r="AW1354" s="4"/>
      <c r="AX1354" s="4"/>
      <c r="AY1354" s="4"/>
      <c r="AZ1354" s="4"/>
      <c r="BA1354" s="4"/>
      <c r="BB1354" s="4"/>
      <c r="BC1354" s="4"/>
      <c r="BD1354" s="4"/>
      <c r="BE1354" s="4"/>
      <c r="BF1354" s="3"/>
      <c r="BG1354" s="3"/>
      <c r="BH1354" s="3"/>
      <c r="BI1354" s="4"/>
      <c r="BJ1354" s="3"/>
      <c r="BK1354" s="4"/>
      <c r="BL1354" s="3"/>
      <c r="BM1354" s="4"/>
      <c r="BN1354" s="4"/>
      <c r="BO1354" s="4"/>
      <c r="BP1354" s="4"/>
      <c r="BQ1354" s="4"/>
      <c r="BR1354" s="4"/>
      <c r="BS1354" s="4"/>
      <c r="BT1354" s="4"/>
      <c r="BU1354" s="4"/>
      <c r="BV1354" s="4"/>
      <c r="BW1354" s="4"/>
      <c r="BX1354" s="4"/>
      <c r="BY1354" s="4"/>
      <c r="BZ1354" s="4"/>
      <c r="CA1354" s="4"/>
      <c r="CB1354" s="4"/>
      <c r="CC1354" s="4"/>
      <c r="CD1354" s="4"/>
      <c r="CE1354" s="4"/>
      <c r="CF1354" s="4"/>
      <c r="CG1354" s="4"/>
      <c r="CH1354" s="4"/>
      <c r="CI1354" s="4"/>
      <c r="CJ1354" s="4"/>
      <c r="CK1354" s="4"/>
      <c r="CL1354" s="4"/>
      <c r="CM1354" s="4"/>
      <c r="CN1354" s="4"/>
      <c r="CO1354" s="4"/>
      <c r="CP1354" s="4"/>
      <c r="CQ1354" s="4"/>
      <c r="CR1354" s="4"/>
      <c r="CS1354" s="4"/>
      <c r="CT1354" s="4"/>
      <c r="CU1354" s="4"/>
      <c r="CV1354" s="4"/>
      <c r="CW1354" s="4"/>
      <c r="CX1354" s="4"/>
      <c r="CY1354" s="4"/>
      <c r="CZ1354" s="3"/>
      <c r="DA1354" s="3"/>
      <c r="DB1354" s="8"/>
      <c r="DC1354" s="4"/>
      <c r="DD1354" s="4"/>
      <c r="DE1354" s="4"/>
      <c r="DF1354" s="4"/>
      <c r="DG1354" s="8"/>
      <c r="DH1354" s="8"/>
      <c r="DI1354" s="8"/>
      <c r="DJ1354" s="8"/>
      <c r="DK1354" s="4"/>
      <c r="DL1354" s="4"/>
      <c r="DM1354" s="4"/>
      <c r="DN1354" s="4"/>
      <c r="DO1354" s="4"/>
      <c r="DP1354" s="4"/>
      <c r="DQ1354" s="4"/>
      <c r="DR1354" s="4"/>
      <c r="DS1354" s="4"/>
      <c r="DT1354" s="4"/>
      <c r="DU1354" s="4"/>
      <c r="DV1354" s="4"/>
      <c r="DW1354" s="4"/>
      <c r="DX1354" s="4"/>
      <c r="DY1354" s="4"/>
      <c r="DZ1354" s="4"/>
      <c r="EA1354" s="4"/>
      <c r="EB1354" s="4"/>
      <c r="EC1354" s="4"/>
      <c r="ED1354" s="4"/>
      <c r="EE1354" s="8"/>
      <c r="EF1354" s="8"/>
      <c r="EG1354" s="8"/>
      <c r="EH1354" s="8"/>
      <c r="EI1354" s="8"/>
      <c r="EJ1354" s="8"/>
      <c r="EK1354" s="4"/>
      <c r="EL1354" s="4"/>
      <c r="EM1354" s="4"/>
    </row>
    <row r="1355" spans="1:150" hidden="1">
      <c r="A1355" s="11" t="s">
        <v>9940</v>
      </c>
      <c r="B1355" s="3" t="s">
        <v>8373</v>
      </c>
      <c r="C1355" s="3">
        <v>2008</v>
      </c>
      <c r="D1355" s="3" t="s">
        <v>8767</v>
      </c>
      <c r="E1355" s="3" t="s">
        <v>8768</v>
      </c>
      <c r="F1355" s="3">
        <v>1</v>
      </c>
      <c r="G1355" s="3"/>
      <c r="H1355" s="3" t="s">
        <v>8772</v>
      </c>
      <c r="I1355" s="3"/>
      <c r="J1355" s="3"/>
      <c r="K1355" s="3" t="s">
        <v>7660</v>
      </c>
      <c r="L1355" s="4"/>
      <c r="M1355" s="3" t="s">
        <v>8769</v>
      </c>
      <c r="T1355" s="3" t="s">
        <v>8770</v>
      </c>
      <c r="V1355" s="3"/>
      <c r="W1355" s="4"/>
      <c r="X1355" s="5" t="s">
        <v>8771</v>
      </c>
      <c r="Y1355" s="5"/>
      <c r="Z1355" s="3">
        <v>1</v>
      </c>
      <c r="AA1355" s="4"/>
      <c r="AB1355" s="4"/>
      <c r="AE1355" s="3"/>
      <c r="AF1355" s="3"/>
      <c r="AG1355" s="4"/>
      <c r="AH1355" s="4"/>
      <c r="AI1355" s="4"/>
      <c r="AJ1355" s="4"/>
      <c r="AK1355" s="3"/>
      <c r="AL1355" s="3"/>
      <c r="AM1355" s="3"/>
      <c r="AN1355" s="3"/>
      <c r="AO1355" s="4"/>
      <c r="AP1355" s="3"/>
      <c r="AQ1355" s="4"/>
      <c r="AR1355" s="3"/>
      <c r="AS1355" s="3"/>
      <c r="AT1355" s="4"/>
      <c r="AU1355" s="3"/>
      <c r="AV1355" s="4"/>
      <c r="AW1355" s="4"/>
      <c r="AX1355" s="4"/>
      <c r="AY1355" s="4"/>
      <c r="AZ1355" s="4"/>
      <c r="BA1355" s="4"/>
      <c r="BB1355" s="4"/>
      <c r="BC1355" s="4"/>
      <c r="BD1355" s="4"/>
      <c r="BE1355" s="4"/>
      <c r="BF1355" s="3"/>
      <c r="BG1355" s="3"/>
      <c r="BH1355" s="3"/>
      <c r="BI1355" s="4"/>
      <c r="BJ1355" s="3"/>
      <c r="BK1355" s="4"/>
      <c r="BL1355" s="4"/>
      <c r="BM1355" s="3"/>
      <c r="BN1355" s="4"/>
      <c r="BO1355" s="4"/>
      <c r="BP1355" s="4"/>
      <c r="BQ1355" s="4"/>
      <c r="BR1355" s="4"/>
      <c r="BS1355" s="4"/>
      <c r="BT1355" s="4"/>
      <c r="BU1355" s="4"/>
      <c r="BV1355" s="4"/>
      <c r="BW1355" s="4"/>
      <c r="BX1355" s="4"/>
      <c r="BY1355" s="4"/>
      <c r="BZ1355" s="4"/>
      <c r="CA1355" s="4"/>
      <c r="CB1355" s="3"/>
      <c r="CC1355" s="3"/>
      <c r="CD1355" s="8"/>
      <c r="CE1355" s="4"/>
      <c r="CF1355" s="4"/>
      <c r="CG1355" s="4"/>
      <c r="CH1355" s="4"/>
      <c r="CI1355" s="8"/>
      <c r="CJ1355" s="8"/>
      <c r="CK1355" s="8"/>
      <c r="CL1355" s="8"/>
      <c r="CM1355" s="4"/>
      <c r="CN1355" s="4"/>
      <c r="CO1355" s="4"/>
      <c r="CP1355" s="4"/>
      <c r="CQ1355" s="4"/>
      <c r="CR1355" s="4"/>
      <c r="CS1355" s="4"/>
      <c r="CT1355" s="4"/>
      <c r="CU1355" s="4"/>
      <c r="CV1355" s="4"/>
      <c r="CW1355" s="4"/>
      <c r="CX1355" s="4"/>
      <c r="CY1355" s="4"/>
      <c r="CZ1355" s="4"/>
      <c r="DA1355" s="4"/>
      <c r="DB1355" s="4"/>
      <c r="DC1355" s="4"/>
      <c r="DD1355" s="4"/>
      <c r="DE1355" s="4"/>
      <c r="DF1355" s="4"/>
      <c r="DG1355" s="8"/>
      <c r="DH1355" s="8"/>
      <c r="DI1355" s="8"/>
      <c r="DJ1355" s="8"/>
      <c r="DK1355" s="8"/>
      <c r="DL1355" s="8"/>
      <c r="DM1355" s="4"/>
      <c r="DN1355" s="4"/>
      <c r="DO1355" s="4"/>
    </row>
    <row r="1356" spans="1:150" hidden="1">
      <c r="A1356" s="11" t="s">
        <v>9940</v>
      </c>
      <c r="B1356" s="3" t="s">
        <v>8379</v>
      </c>
      <c r="C1356" s="3">
        <v>2018</v>
      </c>
      <c r="D1356" s="3" t="s">
        <v>9487</v>
      </c>
      <c r="E1356" s="3" t="s">
        <v>9488</v>
      </c>
      <c r="F1356" s="3">
        <v>0</v>
      </c>
      <c r="G1356" s="3" t="s">
        <v>9237</v>
      </c>
      <c r="H1356" s="3" t="s">
        <v>9490</v>
      </c>
      <c r="I1356" s="3"/>
      <c r="J1356" s="3"/>
      <c r="K1356" s="4"/>
      <c r="L1356" s="4"/>
      <c r="M1356" s="4"/>
      <c r="T1356" s="4"/>
      <c r="V1356" s="4"/>
      <c r="W1356" s="4"/>
      <c r="X1356" s="5" t="s">
        <v>9489</v>
      </c>
      <c r="Y1356" s="5"/>
      <c r="Z1356" s="4"/>
      <c r="AA1356" s="4"/>
      <c r="AB1356" s="4"/>
      <c r="AE1356" s="4"/>
      <c r="AF1356" s="4"/>
      <c r="AG1356" s="3"/>
      <c r="AH1356" s="3"/>
      <c r="AI1356" s="3"/>
      <c r="AJ1356" s="3"/>
      <c r="AK1356" s="4"/>
      <c r="AL1356" s="4"/>
      <c r="AM1356" s="4"/>
      <c r="AN1356" s="4"/>
      <c r="AO1356" s="4"/>
      <c r="AP1356" s="4"/>
      <c r="AQ1356" s="4"/>
      <c r="AR1356" s="4"/>
      <c r="AS1356" s="4"/>
      <c r="AT1356" s="4"/>
      <c r="AU1356" s="4"/>
      <c r="AV1356" s="4"/>
      <c r="AW1356" s="3"/>
      <c r="AX1356" s="4"/>
      <c r="AY1356" s="3"/>
      <c r="AZ1356" s="3"/>
      <c r="BA1356" s="3"/>
      <c r="BB1356" s="4"/>
      <c r="BC1356" s="3"/>
      <c r="BD1356" s="3"/>
      <c r="BE1356" s="4"/>
      <c r="BF1356" s="4"/>
      <c r="BG1356" s="4"/>
      <c r="BH1356" s="4"/>
      <c r="BI1356" s="4"/>
      <c r="BJ1356" s="4"/>
      <c r="BK1356" s="4"/>
      <c r="BL1356" s="4"/>
      <c r="BM1356" s="4"/>
      <c r="BN1356" s="4"/>
      <c r="BO1356" s="4"/>
      <c r="BP1356" s="4"/>
      <c r="BQ1356" s="4"/>
      <c r="BR1356" s="4"/>
      <c r="BS1356" s="4"/>
      <c r="BT1356" s="4"/>
      <c r="BU1356" s="4"/>
      <c r="BV1356" s="4"/>
      <c r="BW1356" s="4"/>
      <c r="BX1356" s="4"/>
      <c r="BY1356" s="4"/>
      <c r="BZ1356" s="4"/>
      <c r="CA1356" s="4"/>
      <c r="CB1356" s="4"/>
      <c r="CC1356" s="4"/>
      <c r="CD1356" s="4"/>
      <c r="CE1356" s="4"/>
      <c r="CF1356" s="4"/>
      <c r="CG1356" s="4"/>
      <c r="CH1356" s="4"/>
      <c r="CI1356" s="4"/>
      <c r="CJ1356" s="4"/>
      <c r="CK1356" s="4"/>
      <c r="CL1356" s="4"/>
      <c r="CM1356" s="4"/>
      <c r="CN1356" s="4"/>
      <c r="CO1356" s="4"/>
      <c r="CP1356" s="4"/>
      <c r="CQ1356" s="4"/>
      <c r="CR1356" s="4"/>
      <c r="CS1356" s="4"/>
      <c r="CT1356" s="4"/>
      <c r="CU1356" s="4"/>
      <c r="CV1356" s="4"/>
      <c r="CW1356" s="4"/>
      <c r="CX1356" s="4"/>
      <c r="CY1356" s="3"/>
      <c r="CZ1356" s="3"/>
      <c r="DA1356" s="4"/>
      <c r="DB1356" s="4"/>
      <c r="DC1356" s="4"/>
      <c r="DD1356" s="4"/>
      <c r="DE1356" s="4"/>
      <c r="DF1356" s="4"/>
      <c r="DG1356" s="4"/>
      <c r="DH1356" s="4"/>
      <c r="DI1356" s="4"/>
      <c r="DJ1356" s="4"/>
      <c r="DK1356" s="4"/>
      <c r="DL1356" s="4"/>
      <c r="DM1356" s="4"/>
      <c r="DN1356" s="4"/>
      <c r="DO1356" s="4"/>
      <c r="DP1356" s="4"/>
      <c r="DQ1356" s="4"/>
      <c r="DR1356" s="4"/>
      <c r="DS1356" s="4"/>
      <c r="DT1356" s="4"/>
      <c r="DU1356" s="4"/>
      <c r="DV1356" s="4"/>
      <c r="DW1356" s="4"/>
      <c r="DX1356" s="4"/>
      <c r="DY1356" s="4"/>
      <c r="DZ1356" s="4"/>
      <c r="EA1356" s="4"/>
      <c r="EB1356" s="4"/>
      <c r="EC1356" s="4"/>
      <c r="ED1356" s="4"/>
      <c r="EE1356" s="4"/>
      <c r="EF1356" s="4"/>
      <c r="EG1356" s="4"/>
      <c r="EH1356" s="4"/>
      <c r="EI1356" s="4"/>
      <c r="EJ1356" s="4"/>
      <c r="EK1356" s="4"/>
      <c r="EL1356" s="4"/>
    </row>
    <row r="1357" spans="1:150" hidden="1">
      <c r="A1357" s="11" t="s">
        <v>9940</v>
      </c>
      <c r="B1357" s="3" t="s">
        <v>8379</v>
      </c>
      <c r="C1357" s="3">
        <v>2018</v>
      </c>
      <c r="D1357" s="3" t="s">
        <v>1549</v>
      </c>
      <c r="E1357" s="3" t="s">
        <v>9491</v>
      </c>
      <c r="F1357" s="3">
        <v>1</v>
      </c>
      <c r="G1357" s="4"/>
      <c r="H1357" s="3" t="s">
        <v>1552</v>
      </c>
      <c r="I1357" s="3"/>
      <c r="J1357" s="3"/>
      <c r="K1357" s="4"/>
      <c r="L1357" s="4"/>
      <c r="M1357" s="4"/>
      <c r="T1357" s="4"/>
      <c r="V1357" s="3"/>
      <c r="W1357" s="3"/>
      <c r="X1357" s="5" t="s">
        <v>1553</v>
      </c>
      <c r="Y1357" s="5"/>
      <c r="Z1357" s="3">
        <v>0</v>
      </c>
      <c r="AA1357" s="3" t="s">
        <v>9265</v>
      </c>
      <c r="AB1357" s="4"/>
      <c r="AE1357" s="3"/>
      <c r="AF1357" s="4"/>
      <c r="AG1357" s="4"/>
      <c r="AH1357" s="4"/>
      <c r="AI1357" s="4"/>
      <c r="AJ1357" s="4"/>
      <c r="AK1357" s="3"/>
      <c r="AL1357" s="3"/>
      <c r="AM1357" s="3"/>
      <c r="AN1357" s="3"/>
      <c r="AO1357" s="4"/>
      <c r="AP1357" s="4"/>
      <c r="AQ1357" s="4"/>
      <c r="AR1357" s="4"/>
      <c r="AS1357" s="4"/>
      <c r="AT1357" s="4"/>
      <c r="AU1357" s="4"/>
      <c r="AV1357" s="4"/>
      <c r="AW1357" s="4"/>
      <c r="AX1357" s="4"/>
      <c r="AY1357" s="4"/>
      <c r="AZ1357" s="4"/>
      <c r="BA1357" s="3"/>
      <c r="BB1357" s="4"/>
      <c r="BC1357" s="3"/>
      <c r="BD1357" s="3"/>
      <c r="BE1357" s="3"/>
      <c r="BF1357" s="4"/>
      <c r="BG1357" s="3"/>
      <c r="BH1357" s="3"/>
      <c r="BI1357" s="4"/>
      <c r="BJ1357" s="4"/>
      <c r="BK1357" s="4"/>
      <c r="BL1357" s="4"/>
      <c r="BM1357" s="4"/>
      <c r="BN1357" s="4"/>
      <c r="BO1357" s="4"/>
      <c r="BP1357" s="4"/>
      <c r="BQ1357" s="4"/>
      <c r="BR1357" s="4"/>
      <c r="BS1357" s="4"/>
      <c r="BT1357" s="4"/>
      <c r="BU1357" s="4"/>
      <c r="BV1357" s="4"/>
      <c r="BW1357" s="4"/>
      <c r="BX1357" s="4"/>
      <c r="BY1357" s="4"/>
      <c r="BZ1357" s="4"/>
      <c r="CA1357" s="4"/>
      <c r="CB1357" s="4"/>
      <c r="CC1357" s="4"/>
      <c r="CD1357" s="4"/>
      <c r="CE1357" s="4"/>
      <c r="CF1357" s="4"/>
      <c r="CG1357" s="4"/>
      <c r="CH1357" s="4"/>
      <c r="CI1357" s="4"/>
      <c r="CJ1357" s="4"/>
      <c r="CK1357" s="4"/>
      <c r="CL1357" s="4"/>
      <c r="CM1357" s="4"/>
      <c r="CN1357" s="4"/>
      <c r="CO1357" s="4"/>
      <c r="CP1357" s="4"/>
      <c r="CQ1357" s="4"/>
      <c r="CR1357" s="4"/>
      <c r="CS1357" s="4"/>
      <c r="CT1357" s="4"/>
      <c r="CU1357" s="4"/>
      <c r="CV1357" s="4"/>
      <c r="CW1357" s="4"/>
      <c r="CX1357" s="4"/>
      <c r="CY1357" s="3"/>
      <c r="CZ1357" s="3"/>
      <c r="DA1357" s="4"/>
      <c r="DB1357" s="4"/>
      <c r="DC1357" s="4"/>
      <c r="DD1357" s="4"/>
      <c r="DE1357" s="4"/>
      <c r="DF1357" s="4"/>
      <c r="DG1357" s="4"/>
      <c r="DH1357" s="4"/>
      <c r="DI1357" s="4"/>
      <c r="DJ1357" s="4"/>
      <c r="DK1357" s="4"/>
      <c r="DL1357" s="4"/>
      <c r="DM1357" s="4"/>
      <c r="DN1357" s="4"/>
      <c r="DO1357" s="4"/>
      <c r="DP1357" s="4"/>
      <c r="DQ1357" s="4"/>
      <c r="DR1357" s="4"/>
      <c r="DS1357" s="4"/>
      <c r="DT1357" s="4"/>
      <c r="DU1357" s="4"/>
      <c r="DV1357" s="4"/>
      <c r="DW1357" s="4"/>
      <c r="DX1357" s="4"/>
      <c r="DY1357" s="4"/>
      <c r="DZ1357" s="4"/>
      <c r="EA1357" s="4"/>
      <c r="EB1357" s="4"/>
      <c r="EC1357" s="4"/>
      <c r="ED1357" s="4"/>
      <c r="EE1357" s="4"/>
      <c r="EF1357" s="4"/>
      <c r="EG1357" s="4"/>
      <c r="EH1357" s="4"/>
      <c r="EI1357" s="4"/>
      <c r="EJ1357" s="4"/>
      <c r="EK1357" s="4"/>
      <c r="EL1357" s="4"/>
    </row>
    <row r="1358" spans="1:150" hidden="1">
      <c r="A1358" s="11" t="s">
        <v>9940</v>
      </c>
      <c r="B1358" s="3" t="s">
        <v>8373</v>
      </c>
      <c r="C1358" s="3">
        <v>2007</v>
      </c>
      <c r="D1358" s="3" t="s">
        <v>2364</v>
      </c>
      <c r="E1358" s="3" t="s">
        <v>8773</v>
      </c>
      <c r="F1358" s="3">
        <v>1</v>
      </c>
      <c r="G1358" s="3"/>
      <c r="H1358" s="3" t="s">
        <v>2368</v>
      </c>
      <c r="I1358" s="3"/>
      <c r="J1358" s="3"/>
      <c r="K1358" s="3" t="s">
        <v>1180</v>
      </c>
      <c r="L1358" s="4"/>
      <c r="M1358" s="3" t="s">
        <v>8753</v>
      </c>
      <c r="T1358" s="3" t="s">
        <v>2366</v>
      </c>
      <c r="V1358" s="3"/>
      <c r="W1358" s="3"/>
      <c r="X1358" s="5" t="s">
        <v>2369</v>
      </c>
      <c r="Y1358" s="5"/>
      <c r="Z1358" s="3">
        <v>1</v>
      </c>
      <c r="AA1358" s="4"/>
      <c r="AB1358" s="3"/>
      <c r="AE1358" s="3"/>
      <c r="AF1358" s="3"/>
      <c r="AG1358" s="4"/>
      <c r="AH1358" s="4"/>
      <c r="AI1358" s="4"/>
      <c r="AJ1358" s="4"/>
      <c r="AK1358" s="3"/>
      <c r="AL1358" s="3"/>
      <c r="AM1358" s="3"/>
      <c r="AN1358" s="3"/>
      <c r="AO1358" s="4"/>
      <c r="AP1358" s="3"/>
      <c r="AQ1358" s="4"/>
      <c r="AR1358" s="10"/>
      <c r="AS1358" s="3"/>
      <c r="AT1358" s="4"/>
      <c r="AU1358" s="3"/>
      <c r="AV1358" s="4"/>
      <c r="AW1358" s="4"/>
      <c r="AX1358" s="4"/>
      <c r="AY1358" s="4"/>
      <c r="AZ1358" s="4"/>
      <c r="BA1358" s="4"/>
      <c r="BB1358" s="4"/>
      <c r="BC1358" s="4"/>
      <c r="BD1358" s="4"/>
      <c r="BE1358" s="4"/>
      <c r="BF1358" s="3"/>
      <c r="BG1358" s="3"/>
      <c r="BH1358" s="3"/>
      <c r="BI1358" s="4"/>
      <c r="BJ1358" s="3"/>
      <c r="BK1358" s="4"/>
      <c r="BL1358" s="4"/>
      <c r="BM1358" s="3"/>
      <c r="BN1358" s="4"/>
      <c r="BO1358" s="4"/>
      <c r="BP1358" s="4"/>
      <c r="BQ1358" s="4"/>
      <c r="BR1358" s="4"/>
      <c r="BS1358" s="4"/>
      <c r="BT1358" s="4"/>
      <c r="BU1358" s="4"/>
      <c r="BV1358" s="4"/>
      <c r="BW1358" s="4"/>
      <c r="BX1358" s="4"/>
      <c r="BY1358" s="4"/>
      <c r="BZ1358" s="4"/>
      <c r="CA1358" s="4"/>
      <c r="CB1358" s="4"/>
      <c r="CC1358" s="4"/>
      <c r="CD1358" s="4"/>
      <c r="CE1358" s="4"/>
      <c r="CF1358" s="4"/>
      <c r="CG1358" s="4"/>
      <c r="CH1358" s="4"/>
      <c r="CI1358" s="4"/>
      <c r="CJ1358" s="4"/>
      <c r="CK1358" s="4"/>
      <c r="CL1358" s="4"/>
      <c r="CM1358" s="4"/>
      <c r="CN1358" s="4"/>
      <c r="CO1358" s="4"/>
      <c r="CP1358" s="4"/>
      <c r="CQ1358" s="4"/>
      <c r="CR1358" s="4"/>
      <c r="CS1358" s="4"/>
      <c r="CT1358" s="4"/>
      <c r="CU1358" s="4"/>
      <c r="CV1358" s="4"/>
      <c r="CW1358" s="4"/>
      <c r="CX1358" s="4"/>
      <c r="CY1358" s="4"/>
      <c r="CZ1358" s="4"/>
      <c r="DA1358" s="4"/>
      <c r="DB1358" s="4"/>
      <c r="DC1358" s="4"/>
      <c r="DD1358" s="3"/>
      <c r="DE1358" s="3"/>
      <c r="DF1358" s="8"/>
      <c r="DG1358" s="4"/>
      <c r="DH1358" s="4"/>
      <c r="DI1358" s="4"/>
      <c r="DJ1358" s="4"/>
      <c r="DK1358" s="8"/>
      <c r="DL1358" s="8"/>
      <c r="DM1358" s="8"/>
      <c r="DN1358" s="8"/>
      <c r="DO1358" s="4"/>
      <c r="DP1358" s="4"/>
      <c r="DQ1358" s="4"/>
      <c r="DR1358" s="4"/>
      <c r="DS1358" s="4"/>
      <c r="DT1358" s="4"/>
      <c r="DU1358" s="4"/>
      <c r="DV1358" s="4"/>
      <c r="DW1358" s="4"/>
      <c r="DX1358" s="4"/>
      <c r="DY1358" s="4"/>
      <c r="DZ1358" s="4"/>
      <c r="EA1358" s="4"/>
      <c r="EB1358" s="4"/>
      <c r="EC1358" s="4"/>
      <c r="ED1358" s="4"/>
      <c r="EE1358" s="4"/>
      <c r="EF1358" s="4"/>
      <c r="EG1358" s="4"/>
      <c r="EH1358" s="4"/>
      <c r="EI1358" s="8"/>
      <c r="EJ1358" s="8"/>
      <c r="EK1358" s="8"/>
      <c r="EL1358" s="8"/>
      <c r="EM1358" s="8"/>
      <c r="EN1358" s="8"/>
      <c r="EO1358" s="4"/>
      <c r="EP1358" s="4"/>
      <c r="EQ1358" s="4"/>
    </row>
    <row r="1359" spans="1:150" hidden="1">
      <c r="A1359" s="11" t="s">
        <v>9940</v>
      </c>
      <c r="B1359" s="3" t="s">
        <v>8373</v>
      </c>
      <c r="C1359" s="3">
        <v>2011</v>
      </c>
      <c r="D1359" s="3" t="s">
        <v>2261</v>
      </c>
      <c r="E1359" s="3" t="s">
        <v>8774</v>
      </c>
      <c r="F1359" s="3">
        <v>1</v>
      </c>
      <c r="G1359" s="3"/>
      <c r="H1359" s="3" t="s">
        <v>8775</v>
      </c>
      <c r="I1359" s="3"/>
      <c r="J1359" s="3"/>
      <c r="K1359" s="3" t="s">
        <v>40</v>
      </c>
      <c r="L1359" s="4"/>
      <c r="M1359" s="3" t="s">
        <v>8500</v>
      </c>
      <c r="T1359" s="3" t="s">
        <v>2263</v>
      </c>
      <c r="V1359" s="3"/>
      <c r="W1359" s="4"/>
      <c r="X1359" s="5" t="s">
        <v>2266</v>
      </c>
      <c r="Y1359" s="5"/>
      <c r="Z1359" s="3">
        <v>1</v>
      </c>
      <c r="AA1359" s="4"/>
      <c r="AB1359" s="4"/>
      <c r="AE1359" s="3"/>
      <c r="AF1359" s="3"/>
      <c r="AG1359" s="4"/>
      <c r="AH1359" s="4"/>
      <c r="AI1359" s="4"/>
      <c r="AJ1359" s="4"/>
      <c r="AK1359" s="3"/>
      <c r="AL1359" s="3"/>
      <c r="AM1359" s="3"/>
      <c r="AN1359" s="3"/>
      <c r="AO1359" s="4"/>
      <c r="AP1359" s="3"/>
      <c r="AQ1359" s="4"/>
      <c r="AR1359" s="3"/>
      <c r="AS1359" s="3"/>
      <c r="AT1359" s="4"/>
      <c r="AU1359" s="3"/>
      <c r="AV1359" s="4"/>
      <c r="AW1359" s="4"/>
      <c r="AX1359" s="4"/>
      <c r="AY1359" s="4"/>
      <c r="AZ1359" s="4"/>
      <c r="BA1359" s="4"/>
      <c r="BB1359" s="4"/>
      <c r="BC1359" s="4"/>
      <c r="BD1359" s="4"/>
      <c r="BE1359" s="4"/>
      <c r="BF1359" s="3"/>
      <c r="BG1359" s="3"/>
      <c r="BH1359" s="3"/>
      <c r="BI1359" s="4"/>
      <c r="BJ1359" s="3"/>
      <c r="BK1359" s="4"/>
      <c r="BL1359" s="4"/>
      <c r="BM1359" s="4"/>
      <c r="BN1359" s="3"/>
      <c r="BO1359" s="4"/>
      <c r="BP1359" s="4"/>
      <c r="BQ1359" s="4"/>
      <c r="BR1359" s="4"/>
      <c r="BS1359" s="4"/>
      <c r="BT1359" s="4"/>
      <c r="BU1359" s="4"/>
      <c r="BV1359" s="4"/>
      <c r="BW1359" s="4"/>
      <c r="BX1359" s="4"/>
      <c r="BY1359" s="4"/>
      <c r="BZ1359" s="4"/>
      <c r="CA1359" s="4"/>
      <c r="CB1359" s="4"/>
      <c r="CC1359" s="4"/>
      <c r="CD1359" s="4"/>
      <c r="CE1359" s="4"/>
      <c r="CF1359" s="4"/>
      <c r="CG1359" s="4"/>
      <c r="CH1359" s="4"/>
      <c r="CI1359" s="4"/>
      <c r="CJ1359" s="4"/>
      <c r="CK1359" s="4"/>
      <c r="CL1359" s="4"/>
      <c r="CM1359" s="4"/>
      <c r="CN1359" s="4"/>
      <c r="CO1359" s="4"/>
      <c r="CP1359" s="4"/>
      <c r="CQ1359" s="4"/>
      <c r="CR1359" s="4"/>
      <c r="CS1359" s="4"/>
      <c r="CT1359" s="4"/>
      <c r="CU1359" s="3"/>
      <c r="CV1359" s="3"/>
      <c r="CW1359" s="8"/>
      <c r="CX1359" s="4"/>
      <c r="CY1359" s="4"/>
      <c r="CZ1359" s="4"/>
      <c r="DA1359" s="4"/>
      <c r="DB1359" s="8"/>
      <c r="DC1359" s="8"/>
      <c r="DD1359" s="8"/>
      <c r="DE1359" s="8"/>
      <c r="DF1359" s="4"/>
      <c r="DG1359" s="4"/>
      <c r="DH1359" s="4"/>
      <c r="DI1359" s="4"/>
      <c r="DJ1359" s="4"/>
      <c r="DK1359" s="4"/>
      <c r="DL1359" s="4"/>
      <c r="DM1359" s="4"/>
      <c r="DN1359" s="4"/>
      <c r="DO1359" s="4"/>
      <c r="DP1359" s="4"/>
      <c r="DQ1359" s="4"/>
      <c r="DR1359" s="4"/>
      <c r="DS1359" s="4"/>
      <c r="DT1359" s="4"/>
      <c r="DU1359" s="4"/>
      <c r="DV1359" s="4"/>
      <c r="DW1359" s="4"/>
      <c r="DX1359" s="4"/>
      <c r="DY1359" s="4"/>
      <c r="DZ1359" s="8"/>
      <c r="EA1359" s="8"/>
      <c r="EB1359" s="8"/>
      <c r="EC1359" s="8"/>
      <c r="ED1359" s="8"/>
      <c r="EE1359" s="8"/>
      <c r="EF1359" s="4"/>
      <c r="EG1359" s="4"/>
      <c r="EH1359" s="4"/>
    </row>
    <row r="1360" spans="1:150" hidden="1">
      <c r="A1360" s="11" t="s">
        <v>9940</v>
      </c>
      <c r="B1360" s="3" t="s">
        <v>8373</v>
      </c>
      <c r="C1360" s="3">
        <v>2007</v>
      </c>
      <c r="D1360" s="3" t="s">
        <v>8776</v>
      </c>
      <c r="E1360" s="3" t="s">
        <v>8777</v>
      </c>
      <c r="F1360" s="3">
        <v>1</v>
      </c>
      <c r="G1360" s="3"/>
      <c r="H1360" s="3" t="s">
        <v>8778</v>
      </c>
      <c r="I1360" s="3"/>
      <c r="J1360" s="3"/>
      <c r="K1360" s="3" t="s">
        <v>132</v>
      </c>
      <c r="L1360" s="4"/>
      <c r="M1360" s="3" t="s">
        <v>8382</v>
      </c>
      <c r="T1360" s="3" t="s">
        <v>864</v>
      </c>
      <c r="V1360" s="3"/>
      <c r="W1360" s="3"/>
      <c r="X1360" s="5" t="s">
        <v>867</v>
      </c>
      <c r="Y1360" s="5"/>
      <c r="Z1360" s="3">
        <v>1</v>
      </c>
      <c r="AA1360" s="4"/>
      <c r="AB1360" s="4"/>
      <c r="AE1360" s="3"/>
      <c r="AF1360" s="3"/>
      <c r="AG1360" s="4"/>
      <c r="AH1360" s="4"/>
      <c r="AI1360" s="4"/>
      <c r="AJ1360" s="4"/>
      <c r="AK1360" s="3"/>
      <c r="AL1360" s="3"/>
      <c r="AM1360" s="3"/>
      <c r="AN1360" s="3"/>
      <c r="AO1360" s="4"/>
      <c r="AP1360" s="3"/>
      <c r="AQ1360" s="4"/>
      <c r="AR1360" s="3"/>
      <c r="AS1360" s="3"/>
      <c r="AT1360" s="4"/>
      <c r="AU1360" s="3"/>
      <c r="AV1360" s="4"/>
      <c r="AW1360" s="4"/>
      <c r="AX1360" s="4"/>
      <c r="AY1360" s="4"/>
      <c r="AZ1360" s="4"/>
      <c r="BA1360" s="4"/>
      <c r="BB1360" s="4"/>
      <c r="BC1360" s="4"/>
      <c r="BD1360" s="4"/>
      <c r="BE1360" s="4"/>
      <c r="BF1360" s="3"/>
      <c r="BG1360" s="3"/>
      <c r="BH1360" s="3"/>
      <c r="BI1360" s="4"/>
      <c r="BJ1360" s="3"/>
      <c r="BK1360" s="4"/>
      <c r="BL1360" s="4"/>
      <c r="BM1360" s="3"/>
      <c r="BN1360" s="4"/>
      <c r="BO1360" s="4"/>
      <c r="BP1360" s="4"/>
      <c r="BQ1360" s="4"/>
      <c r="BR1360" s="4"/>
      <c r="BS1360" s="4"/>
      <c r="BT1360" s="4"/>
      <c r="BU1360" s="4"/>
      <c r="BV1360" s="4"/>
      <c r="BW1360" s="4"/>
      <c r="BX1360" s="4"/>
      <c r="BY1360" s="4"/>
      <c r="BZ1360" s="4"/>
      <c r="CA1360" s="4"/>
      <c r="CB1360" s="4"/>
      <c r="CC1360" s="4"/>
      <c r="CD1360" s="4"/>
      <c r="CE1360" s="4"/>
      <c r="CF1360" s="4"/>
      <c r="CG1360" s="4"/>
      <c r="CH1360" s="4"/>
      <c r="CI1360" s="4"/>
      <c r="CJ1360" s="4"/>
      <c r="CK1360" s="4"/>
      <c r="CL1360" s="4"/>
      <c r="CM1360" s="4"/>
      <c r="CN1360" s="4"/>
      <c r="CO1360" s="4"/>
      <c r="CP1360" s="4"/>
      <c r="CQ1360" s="4"/>
      <c r="CR1360" s="4"/>
      <c r="CS1360" s="4"/>
      <c r="CT1360" s="4"/>
      <c r="CU1360" s="4"/>
      <c r="CV1360" s="4"/>
      <c r="CW1360" s="4"/>
      <c r="CX1360" s="4"/>
      <c r="CY1360" s="4"/>
      <c r="CZ1360" s="4"/>
      <c r="DA1360" s="4"/>
      <c r="DB1360" s="4"/>
      <c r="DC1360" s="4"/>
      <c r="DD1360" s="4"/>
      <c r="DE1360" s="3"/>
      <c r="DF1360" s="3"/>
      <c r="DG1360" s="8"/>
      <c r="DH1360" s="4"/>
      <c r="DI1360" s="4"/>
      <c r="DJ1360" s="4"/>
      <c r="DK1360" s="4"/>
      <c r="DL1360" s="8"/>
      <c r="DM1360" s="8"/>
      <c r="DN1360" s="8"/>
      <c r="DO1360" s="8"/>
      <c r="DP1360" s="4"/>
      <c r="DQ1360" s="4"/>
      <c r="DR1360" s="4"/>
      <c r="DS1360" s="4"/>
      <c r="DT1360" s="4"/>
      <c r="DU1360" s="4"/>
      <c r="DV1360" s="4"/>
      <c r="DW1360" s="4"/>
      <c r="DX1360" s="4"/>
      <c r="DY1360" s="4"/>
      <c r="DZ1360" s="4"/>
      <c r="EA1360" s="4"/>
      <c r="EB1360" s="4"/>
      <c r="EC1360" s="4"/>
      <c r="ED1360" s="4"/>
      <c r="EE1360" s="4"/>
      <c r="EF1360" s="4"/>
      <c r="EG1360" s="4"/>
      <c r="EH1360" s="4"/>
      <c r="EI1360" s="4"/>
      <c r="EJ1360" s="8"/>
      <c r="EK1360" s="8"/>
      <c r="EL1360" s="8"/>
      <c r="EM1360" s="8"/>
      <c r="EN1360" s="8"/>
      <c r="EO1360" s="8"/>
      <c r="EP1360" s="4"/>
      <c r="EQ1360" s="4"/>
      <c r="ER1360" s="4"/>
    </row>
    <row r="1361" spans="1:147" hidden="1">
      <c r="A1361" s="11" t="s">
        <v>9940</v>
      </c>
      <c r="B1361" s="3" t="s">
        <v>8373</v>
      </c>
      <c r="C1361" s="3">
        <v>2002</v>
      </c>
      <c r="D1361" s="3" t="s">
        <v>9492</v>
      </c>
      <c r="E1361" s="3" t="s">
        <v>9493</v>
      </c>
      <c r="F1361" s="3">
        <v>1</v>
      </c>
      <c r="G1361" s="3"/>
      <c r="H1361" s="3" t="s">
        <v>9496</v>
      </c>
      <c r="I1361" s="3"/>
      <c r="J1361" s="3"/>
      <c r="K1361" s="3" t="s">
        <v>1422</v>
      </c>
      <c r="L1361" s="4"/>
      <c r="M1361" s="3" t="s">
        <v>9494</v>
      </c>
      <c r="T1361" s="4"/>
      <c r="V1361" s="3"/>
      <c r="W1361" s="3"/>
      <c r="X1361" s="5" t="s">
        <v>9495</v>
      </c>
      <c r="Y1361" s="5"/>
      <c r="Z1361" s="3">
        <v>0</v>
      </c>
      <c r="AA1361" s="3" t="s">
        <v>9237</v>
      </c>
      <c r="AB1361" s="4"/>
      <c r="AE1361" s="3"/>
      <c r="AF1361" s="4"/>
      <c r="AG1361" s="4"/>
      <c r="AH1361" s="4"/>
      <c r="AI1361" s="4"/>
      <c r="AJ1361" s="4"/>
      <c r="AK1361" s="3"/>
      <c r="AL1361" s="3"/>
      <c r="AM1361" s="3"/>
      <c r="AN1361" s="3"/>
      <c r="AO1361" s="4"/>
      <c r="AP1361" s="12"/>
      <c r="AQ1361" s="4"/>
      <c r="AR1361" s="3"/>
      <c r="AS1361" s="3"/>
      <c r="AT1361" s="4"/>
      <c r="AU1361" s="3"/>
      <c r="AV1361" s="4"/>
      <c r="AW1361" s="4"/>
      <c r="AX1361" s="4"/>
      <c r="AY1361" s="4"/>
      <c r="AZ1361" s="4"/>
      <c r="BA1361" s="4"/>
      <c r="BB1361" s="4"/>
      <c r="BC1361" s="4"/>
      <c r="BD1361" s="4"/>
      <c r="BE1361" s="4"/>
      <c r="BF1361" s="3"/>
      <c r="BG1361" s="3"/>
      <c r="BH1361" s="3"/>
      <c r="BI1361" s="4"/>
      <c r="BJ1361" s="3"/>
      <c r="BK1361" s="4"/>
      <c r="BL1361" s="4"/>
      <c r="BM1361" s="3"/>
      <c r="BN1361" s="4"/>
      <c r="BO1361" s="4"/>
      <c r="BP1361" s="4"/>
      <c r="BQ1361" s="4"/>
      <c r="BR1361" s="4"/>
      <c r="BS1361" s="4"/>
      <c r="BT1361" s="4"/>
      <c r="BU1361" s="4"/>
      <c r="BV1361" s="4"/>
      <c r="BW1361" s="4"/>
      <c r="BX1361" s="4"/>
      <c r="BY1361" s="4"/>
      <c r="BZ1361" s="4"/>
      <c r="CA1361" s="4"/>
      <c r="CB1361" s="4"/>
      <c r="CC1361" s="4"/>
      <c r="CD1361" s="4"/>
      <c r="CE1361" s="4"/>
      <c r="CF1361" s="4"/>
      <c r="CG1361" s="4"/>
      <c r="CH1361" s="4"/>
      <c r="CI1361" s="4"/>
      <c r="CJ1361" s="4"/>
      <c r="CK1361" s="4"/>
      <c r="CL1361" s="4"/>
      <c r="CM1361" s="4"/>
      <c r="CN1361" s="4"/>
      <c r="CO1361" s="4"/>
      <c r="CP1361" s="4"/>
      <c r="CQ1361" s="4"/>
      <c r="CR1361" s="4"/>
      <c r="CS1361" s="4"/>
      <c r="CT1361" s="4"/>
      <c r="CU1361" s="4"/>
      <c r="CV1361" s="4"/>
      <c r="CW1361" s="3"/>
      <c r="CX1361" s="3"/>
      <c r="CY1361" s="4"/>
      <c r="CZ1361" s="4"/>
      <c r="DA1361" s="4"/>
      <c r="DB1361" s="4"/>
      <c r="DC1361" s="4"/>
      <c r="DD1361" s="4"/>
      <c r="DE1361" s="4"/>
      <c r="DF1361" s="4"/>
      <c r="DG1361" s="4"/>
      <c r="DH1361" s="4"/>
      <c r="DI1361" s="4"/>
      <c r="DJ1361" s="4"/>
      <c r="DK1361" s="4"/>
      <c r="DL1361" s="4"/>
      <c r="DM1361" s="4"/>
      <c r="DN1361" s="4"/>
      <c r="DO1361" s="4"/>
      <c r="DP1361" s="4"/>
      <c r="DQ1361" s="4"/>
      <c r="DR1361" s="4"/>
      <c r="DS1361" s="4"/>
      <c r="DT1361" s="4"/>
      <c r="DU1361" s="4"/>
      <c r="DV1361" s="4"/>
      <c r="DW1361" s="4"/>
      <c r="DX1361" s="4"/>
      <c r="DY1361" s="4"/>
      <c r="DZ1361" s="4"/>
      <c r="EA1361" s="4"/>
      <c r="EB1361" s="4"/>
      <c r="EC1361" s="4"/>
      <c r="ED1361" s="4"/>
      <c r="EE1361" s="4"/>
      <c r="EF1361" s="4"/>
      <c r="EG1361" s="4"/>
      <c r="EH1361" s="4"/>
      <c r="EI1361" s="4"/>
      <c r="EJ1361" s="4"/>
    </row>
    <row r="1362" spans="1:147" hidden="1">
      <c r="A1362" s="11" t="s">
        <v>9940</v>
      </c>
      <c r="B1362" s="3" t="s">
        <v>8373</v>
      </c>
      <c r="C1362" s="3">
        <v>2009</v>
      </c>
      <c r="D1362" s="3" t="s">
        <v>3007</v>
      </c>
      <c r="E1362" s="3" t="s">
        <v>9497</v>
      </c>
      <c r="F1362" s="3">
        <v>1</v>
      </c>
      <c r="G1362" s="3"/>
      <c r="H1362" s="3" t="s">
        <v>3011</v>
      </c>
      <c r="I1362" s="3"/>
      <c r="J1362" s="3"/>
      <c r="K1362" s="3" t="s">
        <v>2292</v>
      </c>
      <c r="L1362" s="4"/>
      <c r="M1362" s="3" t="s">
        <v>9498</v>
      </c>
      <c r="T1362" s="3" t="s">
        <v>3009</v>
      </c>
      <c r="V1362" s="3"/>
      <c r="W1362" s="3"/>
      <c r="X1362" s="5" t="s">
        <v>3012</v>
      </c>
      <c r="Y1362" s="5"/>
      <c r="Z1362" s="3">
        <v>0</v>
      </c>
      <c r="AA1362" s="3" t="s">
        <v>9178</v>
      </c>
      <c r="AB1362" s="4"/>
      <c r="AE1362" s="3"/>
      <c r="AF1362" s="4"/>
      <c r="AG1362" s="4"/>
      <c r="AH1362" s="4"/>
      <c r="AI1362" s="4"/>
      <c r="AJ1362" s="4"/>
      <c r="AK1362" s="3"/>
      <c r="AL1362" s="3"/>
      <c r="AM1362" s="3"/>
      <c r="AN1362" s="3"/>
      <c r="AO1362" s="4"/>
      <c r="AP1362" s="3"/>
      <c r="AQ1362" s="4"/>
      <c r="AR1362" s="3"/>
      <c r="AS1362" s="3"/>
      <c r="AT1362" s="4"/>
      <c r="AU1362" s="3"/>
      <c r="AV1362" s="4"/>
      <c r="AW1362" s="4"/>
      <c r="AX1362" s="4"/>
      <c r="AY1362" s="4"/>
      <c r="AZ1362" s="4"/>
      <c r="BA1362" s="4"/>
      <c r="BB1362" s="4"/>
      <c r="BC1362" s="4"/>
      <c r="BD1362" s="4"/>
      <c r="BE1362" s="4"/>
      <c r="BF1362" s="3"/>
      <c r="BG1362" s="3"/>
      <c r="BH1362" s="3"/>
      <c r="BI1362" s="4"/>
      <c r="BJ1362" s="3"/>
      <c r="BK1362" s="4"/>
      <c r="BL1362" s="4"/>
      <c r="BM1362" s="3"/>
      <c r="BN1362" s="4"/>
      <c r="BO1362" s="4"/>
      <c r="BP1362" s="4"/>
      <c r="BQ1362" s="4"/>
      <c r="BR1362" s="4"/>
      <c r="BS1362" s="4"/>
      <c r="BT1362" s="4"/>
      <c r="BU1362" s="4"/>
      <c r="BV1362" s="4"/>
      <c r="BW1362" s="4"/>
      <c r="BX1362" s="4"/>
      <c r="BY1362" s="4"/>
      <c r="BZ1362" s="4"/>
      <c r="CA1362" s="4"/>
      <c r="CB1362" s="4"/>
      <c r="CC1362" s="4"/>
      <c r="CD1362" s="4"/>
      <c r="CE1362" s="4"/>
      <c r="CF1362" s="4"/>
      <c r="CG1362" s="4"/>
      <c r="CH1362" s="4"/>
      <c r="CI1362" s="4"/>
      <c r="CJ1362" s="4"/>
      <c r="CK1362" s="4"/>
      <c r="CL1362" s="4"/>
      <c r="CM1362" s="4"/>
      <c r="CN1362" s="4"/>
      <c r="CO1362" s="3"/>
      <c r="CP1362" s="3"/>
      <c r="CQ1362" s="4"/>
      <c r="CR1362" s="4"/>
      <c r="CS1362" s="4"/>
      <c r="CT1362" s="4"/>
      <c r="CU1362" s="4"/>
      <c r="CV1362" s="4"/>
      <c r="CW1362" s="4"/>
      <c r="CX1362" s="4"/>
      <c r="CY1362" s="4"/>
      <c r="CZ1362" s="4"/>
      <c r="DA1362" s="4"/>
      <c r="DB1362" s="4"/>
      <c r="DC1362" s="4"/>
      <c r="DD1362" s="4"/>
      <c r="DE1362" s="4"/>
      <c r="DF1362" s="4"/>
      <c r="DG1362" s="4"/>
      <c r="DH1362" s="4"/>
      <c r="DI1362" s="4"/>
      <c r="DJ1362" s="4"/>
      <c r="DK1362" s="4"/>
      <c r="DL1362" s="4"/>
      <c r="DM1362" s="4"/>
      <c r="DN1362" s="4"/>
      <c r="DO1362" s="4"/>
      <c r="DP1362" s="4"/>
      <c r="DQ1362" s="4"/>
      <c r="DR1362" s="4"/>
      <c r="DS1362" s="4"/>
      <c r="DT1362" s="4"/>
      <c r="DU1362" s="4"/>
      <c r="DV1362" s="4"/>
      <c r="DW1362" s="4"/>
      <c r="DX1362" s="4"/>
      <c r="DY1362" s="4"/>
      <c r="DZ1362" s="4"/>
      <c r="EA1362" s="4"/>
      <c r="EB1362" s="4"/>
    </row>
    <row r="1363" spans="1:147" hidden="1">
      <c r="A1363" s="11" t="s">
        <v>9940</v>
      </c>
      <c r="B1363" s="3" t="s">
        <v>8373</v>
      </c>
      <c r="C1363" s="3">
        <v>2006</v>
      </c>
      <c r="D1363" s="3" t="s">
        <v>8779</v>
      </c>
      <c r="E1363" s="3" t="s">
        <v>8780</v>
      </c>
      <c r="F1363" s="3">
        <v>1</v>
      </c>
      <c r="G1363" s="3"/>
      <c r="H1363" s="3" t="s">
        <v>882</v>
      </c>
      <c r="I1363" s="3"/>
      <c r="J1363" s="3"/>
      <c r="K1363" s="3" t="s">
        <v>878</v>
      </c>
      <c r="L1363" s="4"/>
      <c r="M1363" s="3" t="s">
        <v>8781</v>
      </c>
      <c r="T1363" s="3" t="s">
        <v>880</v>
      </c>
      <c r="V1363" s="3"/>
      <c r="W1363" s="3"/>
      <c r="X1363" s="5" t="s">
        <v>883</v>
      </c>
      <c r="Y1363" s="5"/>
      <c r="Z1363" s="3">
        <v>1</v>
      </c>
      <c r="AA1363" s="4"/>
      <c r="AB1363" s="4"/>
      <c r="AE1363" s="3"/>
      <c r="AF1363" s="3"/>
      <c r="AG1363" s="4"/>
      <c r="AH1363" s="4"/>
      <c r="AI1363" s="4"/>
      <c r="AJ1363" s="4"/>
      <c r="AK1363" s="3"/>
      <c r="AL1363" s="3"/>
      <c r="AM1363" s="3"/>
      <c r="AN1363" s="3"/>
      <c r="AO1363" s="4"/>
      <c r="AP1363" s="3"/>
      <c r="AQ1363" s="4"/>
      <c r="AR1363" s="3"/>
      <c r="AS1363" s="3"/>
      <c r="AT1363" s="4"/>
      <c r="AU1363" s="3"/>
      <c r="AV1363" s="4"/>
      <c r="AW1363" s="4"/>
      <c r="AX1363" s="4"/>
      <c r="AY1363" s="4"/>
      <c r="AZ1363" s="4"/>
      <c r="BA1363" s="4"/>
      <c r="BB1363" s="4"/>
      <c r="BC1363" s="4"/>
      <c r="BD1363" s="4"/>
      <c r="BE1363" s="4"/>
      <c r="BF1363" s="3"/>
      <c r="BG1363" s="3"/>
      <c r="BH1363" s="3"/>
      <c r="BI1363" s="4"/>
      <c r="BJ1363" s="3"/>
      <c r="BK1363" s="4"/>
      <c r="BL1363" s="4"/>
      <c r="BM1363" s="3"/>
      <c r="BN1363" s="4"/>
      <c r="BO1363" s="4"/>
      <c r="BP1363" s="4"/>
      <c r="BQ1363" s="4"/>
      <c r="BR1363" s="4"/>
      <c r="BS1363" s="4"/>
      <c r="BT1363" s="4"/>
      <c r="BU1363" s="4"/>
      <c r="BV1363" s="4"/>
      <c r="BW1363" s="4"/>
      <c r="BX1363" s="4"/>
      <c r="BY1363" s="4"/>
      <c r="BZ1363" s="4"/>
      <c r="CA1363" s="4"/>
      <c r="CB1363" s="4"/>
      <c r="CC1363" s="4"/>
      <c r="CD1363" s="4"/>
      <c r="CE1363" s="4"/>
      <c r="CF1363" s="4"/>
      <c r="CG1363" s="4"/>
      <c r="CH1363" s="4"/>
      <c r="CI1363" s="4"/>
      <c r="CJ1363" s="4"/>
      <c r="CK1363" s="4"/>
      <c r="CL1363" s="4"/>
      <c r="CM1363" s="4"/>
      <c r="CN1363" s="4"/>
      <c r="CO1363" s="4"/>
      <c r="CP1363" s="4"/>
      <c r="CQ1363" s="4"/>
      <c r="CR1363" s="4"/>
      <c r="CS1363" s="4"/>
      <c r="CT1363" s="4"/>
      <c r="CU1363" s="4"/>
      <c r="CV1363" s="4"/>
      <c r="CW1363" s="4"/>
      <c r="CX1363" s="4"/>
      <c r="CY1363" s="4"/>
      <c r="CZ1363" s="4"/>
      <c r="DA1363" s="4"/>
      <c r="DB1363" s="3"/>
      <c r="DC1363" s="3"/>
      <c r="DD1363" s="8"/>
      <c r="DE1363" s="4"/>
      <c r="DF1363" s="4"/>
      <c r="DG1363" s="4"/>
      <c r="DH1363" s="4"/>
      <c r="DI1363" s="8"/>
      <c r="DJ1363" s="8"/>
      <c r="DK1363" s="8"/>
      <c r="DL1363" s="8"/>
      <c r="DM1363" s="4"/>
      <c r="DN1363" s="4"/>
      <c r="DO1363" s="4"/>
      <c r="DP1363" s="4"/>
      <c r="DQ1363" s="4"/>
      <c r="DR1363" s="4"/>
      <c r="DS1363" s="4"/>
      <c r="DT1363" s="4"/>
      <c r="DU1363" s="4"/>
      <c r="DV1363" s="4"/>
      <c r="DW1363" s="4"/>
      <c r="DX1363" s="4"/>
      <c r="DY1363" s="4"/>
      <c r="DZ1363" s="4"/>
      <c r="EA1363" s="4"/>
      <c r="EB1363" s="4"/>
      <c r="EC1363" s="4"/>
      <c r="ED1363" s="4"/>
      <c r="EE1363" s="4"/>
      <c r="EF1363" s="4"/>
      <c r="EG1363" s="8"/>
      <c r="EH1363" s="8"/>
      <c r="EI1363" s="8"/>
      <c r="EJ1363" s="8"/>
      <c r="EK1363" s="8"/>
      <c r="EL1363" s="8"/>
      <c r="EM1363" s="4"/>
      <c r="EN1363" s="4"/>
      <c r="EO1363" s="4"/>
    </row>
    <row r="1364" spans="1:147" hidden="1">
      <c r="A1364" s="11" t="s">
        <v>9940</v>
      </c>
      <c r="B1364" s="3" t="s">
        <v>8373</v>
      </c>
      <c r="C1364" s="3">
        <v>2005</v>
      </c>
      <c r="D1364" s="3" t="s">
        <v>7695</v>
      </c>
      <c r="E1364" s="3" t="s">
        <v>9499</v>
      </c>
      <c r="F1364" s="3">
        <v>1</v>
      </c>
      <c r="G1364" s="3"/>
      <c r="H1364" s="3" t="s">
        <v>7699</v>
      </c>
      <c r="I1364" s="3"/>
      <c r="J1364" s="3"/>
      <c r="K1364" s="3" t="s">
        <v>132</v>
      </c>
      <c r="L1364" s="4"/>
      <c r="M1364" s="3" t="s">
        <v>8382</v>
      </c>
      <c r="T1364" s="3" t="s">
        <v>7697</v>
      </c>
      <c r="V1364" s="3"/>
      <c r="W1364" s="3"/>
      <c r="X1364" s="5" t="s">
        <v>7700</v>
      </c>
      <c r="Y1364" s="5"/>
      <c r="Z1364" s="3">
        <v>0</v>
      </c>
      <c r="AA1364" s="3" t="s">
        <v>9249</v>
      </c>
      <c r="AB1364" s="4"/>
      <c r="AE1364" s="3"/>
      <c r="AF1364" s="4"/>
      <c r="AG1364" s="4"/>
      <c r="AH1364" s="4"/>
      <c r="AI1364" s="4"/>
      <c r="AJ1364" s="4"/>
      <c r="AK1364" s="3"/>
      <c r="AL1364" s="3"/>
      <c r="AM1364" s="3"/>
      <c r="AN1364" s="3"/>
      <c r="AO1364" s="4"/>
      <c r="AP1364" s="3"/>
      <c r="AQ1364" s="4"/>
      <c r="AR1364" s="3"/>
      <c r="AS1364" s="3"/>
      <c r="AT1364" s="4"/>
      <c r="AU1364" s="3"/>
      <c r="AV1364" s="4"/>
      <c r="AW1364" s="4"/>
      <c r="AX1364" s="4"/>
      <c r="AY1364" s="4"/>
      <c r="AZ1364" s="4"/>
      <c r="BA1364" s="4"/>
      <c r="BB1364" s="4"/>
      <c r="BC1364" s="4"/>
      <c r="BD1364" s="4"/>
      <c r="BE1364" s="4"/>
      <c r="BF1364" s="3"/>
      <c r="BG1364" s="3"/>
      <c r="BH1364" s="3"/>
      <c r="BI1364" s="4"/>
      <c r="BJ1364" s="3"/>
      <c r="BK1364" s="4"/>
      <c r="BL1364" s="4"/>
      <c r="BM1364" s="3"/>
      <c r="BN1364" s="4"/>
      <c r="BO1364" s="4"/>
      <c r="BP1364" s="4"/>
      <c r="BQ1364" s="4"/>
      <c r="BR1364" s="4"/>
      <c r="BS1364" s="4"/>
      <c r="BT1364" s="4"/>
      <c r="BU1364" s="4"/>
      <c r="BV1364" s="4"/>
      <c r="BW1364" s="4"/>
      <c r="BX1364" s="4"/>
      <c r="BY1364" s="4"/>
      <c r="BZ1364" s="4"/>
      <c r="CA1364" s="4"/>
      <c r="CB1364" s="4"/>
      <c r="CC1364" s="4"/>
      <c r="CD1364" s="4"/>
      <c r="CE1364" s="4"/>
      <c r="CF1364" s="4"/>
      <c r="CG1364" s="4"/>
      <c r="CH1364" s="4"/>
      <c r="CI1364" s="4"/>
      <c r="CJ1364" s="4"/>
      <c r="CK1364" s="4"/>
      <c r="CL1364" s="4"/>
      <c r="CM1364" s="4"/>
      <c r="CN1364" s="4"/>
      <c r="CO1364" s="4"/>
      <c r="CP1364" s="4"/>
      <c r="CQ1364" s="4"/>
      <c r="CR1364" s="4"/>
      <c r="CS1364" s="4"/>
      <c r="CT1364" s="4"/>
      <c r="CU1364" s="4"/>
      <c r="CV1364" s="4"/>
      <c r="CW1364" s="4"/>
      <c r="CX1364" s="4"/>
      <c r="CY1364" s="4"/>
      <c r="CZ1364" s="4"/>
      <c r="DA1364" s="4"/>
      <c r="DB1364" s="4"/>
      <c r="DC1364" s="4"/>
      <c r="DD1364" s="3"/>
      <c r="DE1364" s="3"/>
      <c r="DF1364" s="4"/>
      <c r="DG1364" s="4"/>
      <c r="DH1364" s="4"/>
      <c r="DI1364" s="4"/>
      <c r="DJ1364" s="4"/>
      <c r="DK1364" s="4"/>
      <c r="DL1364" s="4"/>
      <c r="DM1364" s="4"/>
      <c r="DN1364" s="4"/>
      <c r="DO1364" s="4"/>
      <c r="DP1364" s="4"/>
      <c r="DQ1364" s="4"/>
      <c r="DR1364" s="4"/>
      <c r="DS1364" s="4"/>
      <c r="DT1364" s="4"/>
      <c r="DU1364" s="4"/>
      <c r="DV1364" s="4"/>
      <c r="DW1364" s="4"/>
      <c r="DX1364" s="4"/>
      <c r="DY1364" s="4"/>
      <c r="DZ1364" s="4"/>
      <c r="EA1364" s="4"/>
      <c r="EB1364" s="4"/>
      <c r="EC1364" s="4"/>
      <c r="ED1364" s="4"/>
      <c r="EE1364" s="4"/>
      <c r="EF1364" s="4"/>
      <c r="EG1364" s="4"/>
      <c r="EH1364" s="4"/>
      <c r="EI1364" s="4"/>
      <c r="EJ1364" s="4"/>
      <c r="EK1364" s="4"/>
      <c r="EL1364" s="4"/>
      <c r="EM1364" s="4"/>
      <c r="EN1364" s="4"/>
      <c r="EO1364" s="4"/>
      <c r="EP1364" s="4"/>
      <c r="EQ1364" s="4"/>
    </row>
    <row r="1365" spans="1:147" hidden="1">
      <c r="A1365" s="11" t="s">
        <v>9940</v>
      </c>
      <c r="B1365" s="3" t="s">
        <v>8373</v>
      </c>
      <c r="C1365" s="3">
        <v>2006</v>
      </c>
      <c r="D1365" s="3" t="s">
        <v>8393</v>
      </c>
      <c r="E1365" s="3" t="s">
        <v>9500</v>
      </c>
      <c r="F1365" s="3">
        <v>1</v>
      </c>
      <c r="G1365" s="3"/>
      <c r="H1365" s="3" t="s">
        <v>9503</v>
      </c>
      <c r="I1365" s="3"/>
      <c r="J1365" s="3"/>
      <c r="K1365" s="3" t="s">
        <v>132</v>
      </c>
      <c r="L1365" s="4"/>
      <c r="M1365" s="3" t="s">
        <v>8382</v>
      </c>
      <c r="T1365" s="3" t="s">
        <v>9501</v>
      </c>
      <c r="V1365" s="3"/>
      <c r="W1365" s="3"/>
      <c r="X1365" s="5" t="s">
        <v>9502</v>
      </c>
      <c r="Y1365" s="5"/>
      <c r="Z1365" s="3">
        <v>0</v>
      </c>
      <c r="AA1365" s="3" t="s">
        <v>9249</v>
      </c>
      <c r="AB1365" s="4"/>
      <c r="AE1365" s="3"/>
      <c r="AF1365" s="4"/>
      <c r="AG1365" s="4"/>
      <c r="AH1365" s="4"/>
      <c r="AI1365" s="4"/>
      <c r="AJ1365" s="4"/>
      <c r="AK1365" s="3"/>
      <c r="AL1365" s="3"/>
      <c r="AM1365" s="3"/>
      <c r="AN1365" s="3"/>
      <c r="AO1365" s="4"/>
      <c r="AP1365" s="3"/>
      <c r="AQ1365" s="4"/>
      <c r="AR1365" s="3"/>
      <c r="AS1365" s="3"/>
      <c r="AT1365" s="4"/>
      <c r="AU1365" s="3"/>
      <c r="AV1365" s="4"/>
      <c r="AW1365" s="4"/>
      <c r="AX1365" s="4"/>
      <c r="AY1365" s="4"/>
      <c r="AZ1365" s="4"/>
      <c r="BA1365" s="4"/>
      <c r="BB1365" s="4"/>
      <c r="BC1365" s="4"/>
      <c r="BD1365" s="4"/>
      <c r="BE1365" s="4"/>
      <c r="BF1365" s="3"/>
      <c r="BG1365" s="3"/>
      <c r="BH1365" s="3"/>
      <c r="BI1365" s="4"/>
      <c r="BJ1365" s="3"/>
      <c r="BK1365" s="4"/>
      <c r="BL1365" s="4"/>
      <c r="BM1365" s="3"/>
      <c r="BN1365" s="4"/>
      <c r="BO1365" s="4"/>
      <c r="BP1365" s="4"/>
      <c r="BQ1365" s="4"/>
      <c r="BR1365" s="4"/>
      <c r="BS1365" s="4"/>
      <c r="BT1365" s="4"/>
      <c r="BU1365" s="4"/>
      <c r="BV1365" s="4"/>
      <c r="BW1365" s="4"/>
      <c r="BX1365" s="4"/>
      <c r="BY1365" s="4"/>
      <c r="BZ1365" s="4"/>
      <c r="CA1365" s="4"/>
      <c r="CB1365" s="4"/>
      <c r="CC1365" s="4"/>
      <c r="CD1365" s="4"/>
      <c r="CE1365" s="4"/>
      <c r="CF1365" s="4"/>
      <c r="CG1365" s="4"/>
      <c r="CH1365" s="4"/>
      <c r="CI1365" s="4"/>
      <c r="CJ1365" s="4"/>
      <c r="CK1365" s="4"/>
      <c r="CL1365" s="4"/>
      <c r="CM1365" s="4"/>
      <c r="CN1365" s="4"/>
      <c r="CO1365" s="4"/>
      <c r="CP1365" s="4"/>
      <c r="CQ1365" s="4"/>
      <c r="CR1365" s="4"/>
      <c r="CS1365" s="4"/>
      <c r="CT1365" s="4"/>
      <c r="CU1365" s="4"/>
      <c r="CV1365" s="4"/>
      <c r="CW1365" s="4"/>
      <c r="CX1365" s="4"/>
      <c r="CY1365" s="4"/>
      <c r="CZ1365" s="4"/>
      <c r="DA1365" s="4"/>
      <c r="DB1365" s="4"/>
      <c r="DC1365" s="4"/>
      <c r="DD1365" s="3"/>
      <c r="DE1365" s="3"/>
      <c r="DF1365" s="4"/>
      <c r="DG1365" s="4"/>
      <c r="DH1365" s="4"/>
      <c r="DI1365" s="4"/>
      <c r="DJ1365" s="4"/>
      <c r="DK1365" s="4"/>
      <c r="DL1365" s="4"/>
      <c r="DM1365" s="4"/>
      <c r="DN1365" s="4"/>
      <c r="DO1365" s="4"/>
      <c r="DP1365" s="4"/>
      <c r="DQ1365" s="4"/>
      <c r="DR1365" s="4"/>
      <c r="DS1365" s="4"/>
      <c r="DT1365" s="4"/>
      <c r="DU1365" s="4"/>
      <c r="DV1365" s="4"/>
      <c r="DW1365" s="4"/>
      <c r="DX1365" s="4"/>
      <c r="DY1365" s="4"/>
      <c r="DZ1365" s="4"/>
      <c r="EA1365" s="4"/>
      <c r="EB1365" s="4"/>
      <c r="EC1365" s="4"/>
      <c r="ED1365" s="4"/>
      <c r="EE1365" s="4"/>
      <c r="EF1365" s="4"/>
      <c r="EG1365" s="4"/>
      <c r="EH1365" s="4"/>
      <c r="EI1365" s="4"/>
      <c r="EJ1365" s="4"/>
      <c r="EK1365" s="4"/>
      <c r="EL1365" s="4"/>
      <c r="EM1365" s="4"/>
      <c r="EN1365" s="4"/>
      <c r="EO1365" s="4"/>
      <c r="EP1365" s="4"/>
      <c r="EQ1365" s="4"/>
    </row>
    <row r="1366" spans="1:147" hidden="1">
      <c r="A1366" s="11" t="s">
        <v>9940</v>
      </c>
      <c r="B1366" s="3" t="s">
        <v>8373</v>
      </c>
      <c r="C1366" s="3">
        <v>2004</v>
      </c>
      <c r="D1366" s="3" t="s">
        <v>9504</v>
      </c>
      <c r="E1366" s="3" t="s">
        <v>9505</v>
      </c>
      <c r="F1366" s="3">
        <v>0</v>
      </c>
      <c r="G1366" s="3" t="s">
        <v>9249</v>
      </c>
      <c r="H1366" s="3" t="s">
        <v>9508</v>
      </c>
      <c r="I1366" s="3"/>
      <c r="J1366" s="3"/>
      <c r="K1366" s="3" t="s">
        <v>132</v>
      </c>
      <c r="L1366" s="4"/>
      <c r="M1366" s="3" t="s">
        <v>8382</v>
      </c>
      <c r="T1366" s="3" t="s">
        <v>9506</v>
      </c>
      <c r="V1366" s="4"/>
      <c r="W1366" s="4"/>
      <c r="X1366" s="5" t="s">
        <v>9507</v>
      </c>
      <c r="Y1366" s="5"/>
      <c r="Z1366" s="4"/>
      <c r="AA1366" s="4"/>
      <c r="AB1366" s="4"/>
      <c r="AE1366" s="4"/>
      <c r="AF1366" s="4"/>
      <c r="AG1366" s="3"/>
      <c r="AH1366" s="3"/>
      <c r="AI1366" s="3"/>
      <c r="AJ1366" s="3"/>
      <c r="AK1366" s="4"/>
      <c r="AL1366" s="3"/>
      <c r="AM1366" s="4"/>
      <c r="AN1366" s="3"/>
      <c r="AO1366" s="3"/>
      <c r="AP1366" s="4"/>
      <c r="AQ1366" s="3"/>
      <c r="AR1366" s="4"/>
      <c r="AS1366" s="4"/>
      <c r="AT1366" s="4"/>
      <c r="AU1366" s="4"/>
      <c r="AV1366" s="4"/>
      <c r="AW1366" s="4"/>
      <c r="AX1366" s="4"/>
      <c r="AY1366" s="4"/>
      <c r="AZ1366" s="4"/>
      <c r="BA1366" s="4"/>
      <c r="BB1366" s="3"/>
      <c r="BC1366" s="3"/>
      <c r="BD1366" s="3"/>
      <c r="BE1366" s="4"/>
      <c r="BF1366" s="3"/>
      <c r="BG1366" s="4"/>
      <c r="BH1366" s="4"/>
      <c r="BI1366" s="3"/>
      <c r="BJ1366" s="4"/>
      <c r="BK1366" s="4"/>
      <c r="BL1366" s="4"/>
      <c r="BM1366" s="4"/>
      <c r="BN1366" s="4"/>
      <c r="BO1366" s="4"/>
      <c r="BP1366" s="4"/>
      <c r="BQ1366" s="4"/>
      <c r="BR1366" s="4"/>
      <c r="BS1366" s="4"/>
      <c r="BT1366" s="4"/>
      <c r="BU1366" s="4"/>
      <c r="BV1366" s="4"/>
      <c r="BW1366" s="4"/>
      <c r="BX1366" s="4"/>
      <c r="BY1366" s="4"/>
      <c r="BZ1366" s="4"/>
      <c r="CA1366" s="4"/>
      <c r="CB1366" s="4"/>
      <c r="CC1366" s="4"/>
      <c r="CD1366" s="4"/>
      <c r="CE1366" s="4"/>
      <c r="CF1366" s="4"/>
      <c r="CG1366" s="4"/>
      <c r="CH1366" s="4"/>
      <c r="CI1366" s="4"/>
      <c r="CJ1366" s="4"/>
      <c r="CK1366" s="4"/>
      <c r="CL1366" s="4"/>
      <c r="CM1366" s="4"/>
      <c r="CN1366" s="4"/>
      <c r="CO1366" s="4"/>
      <c r="CP1366" s="4"/>
      <c r="CQ1366" s="4"/>
      <c r="CR1366" s="4"/>
      <c r="CS1366" s="4"/>
      <c r="CT1366" s="4"/>
      <c r="CU1366" s="4"/>
      <c r="CV1366" s="4"/>
      <c r="CW1366" s="4"/>
      <c r="CX1366" s="4"/>
      <c r="CY1366" s="4"/>
      <c r="CZ1366" s="4"/>
      <c r="DA1366" s="4"/>
      <c r="DB1366" s="4"/>
      <c r="DC1366" s="3"/>
      <c r="DD1366" s="3"/>
      <c r="DE1366" s="4"/>
      <c r="DF1366" s="4"/>
      <c r="DG1366" s="4"/>
      <c r="DH1366" s="4"/>
      <c r="DI1366" s="4"/>
      <c r="DJ1366" s="4"/>
      <c r="DK1366" s="4"/>
      <c r="DL1366" s="4"/>
      <c r="DM1366" s="4"/>
      <c r="DN1366" s="4"/>
      <c r="DO1366" s="4"/>
      <c r="DP1366" s="4"/>
      <c r="DQ1366" s="4"/>
      <c r="DR1366" s="4"/>
      <c r="DS1366" s="4"/>
      <c r="DT1366" s="4"/>
      <c r="DU1366" s="4"/>
      <c r="DV1366" s="4"/>
      <c r="DW1366" s="4"/>
      <c r="DX1366" s="4"/>
      <c r="DY1366" s="4"/>
      <c r="DZ1366" s="4"/>
      <c r="EA1366" s="4"/>
      <c r="EB1366" s="4"/>
      <c r="EC1366" s="4"/>
      <c r="ED1366" s="4"/>
      <c r="EE1366" s="4"/>
      <c r="EF1366" s="4"/>
      <c r="EG1366" s="4"/>
      <c r="EH1366" s="4"/>
      <c r="EI1366" s="4"/>
      <c r="EJ1366" s="4"/>
      <c r="EK1366" s="4"/>
      <c r="EL1366" s="4"/>
      <c r="EM1366" s="4"/>
      <c r="EN1366" s="4"/>
      <c r="EO1366" s="4"/>
      <c r="EP1366" s="4"/>
    </row>
    <row r="1367" spans="1:147" hidden="1">
      <c r="A1367" s="11" t="s">
        <v>9940</v>
      </c>
      <c r="B1367" s="3" t="s">
        <v>8373</v>
      </c>
      <c r="C1367" s="3">
        <v>2004</v>
      </c>
      <c r="D1367" s="3" t="s">
        <v>794</v>
      </c>
      <c r="E1367" s="3" t="s">
        <v>9509</v>
      </c>
      <c r="F1367" s="3">
        <v>0</v>
      </c>
      <c r="G1367" s="3" t="s">
        <v>9249</v>
      </c>
      <c r="H1367" s="3" t="s">
        <v>798</v>
      </c>
      <c r="I1367" s="3"/>
      <c r="J1367" s="3"/>
      <c r="K1367" s="3" t="s">
        <v>370</v>
      </c>
      <c r="L1367" s="4"/>
      <c r="M1367" s="3" t="s">
        <v>8582</v>
      </c>
      <c r="T1367" s="3" t="s">
        <v>796</v>
      </c>
      <c r="V1367" s="4"/>
      <c r="W1367" s="4"/>
      <c r="X1367" s="5" t="s">
        <v>799</v>
      </c>
      <c r="Y1367" s="5"/>
      <c r="Z1367" s="4"/>
      <c r="AA1367" s="4"/>
      <c r="AB1367" s="4"/>
      <c r="AE1367" s="4"/>
      <c r="AF1367" s="4"/>
      <c r="AG1367" s="3"/>
      <c r="AH1367" s="3"/>
      <c r="AI1367" s="3"/>
      <c r="AJ1367" s="3"/>
      <c r="AK1367" s="4"/>
      <c r="AL1367" s="3"/>
      <c r="AM1367" s="4"/>
      <c r="AN1367" s="3"/>
      <c r="AO1367" s="3"/>
      <c r="AP1367" s="4"/>
      <c r="AQ1367" s="3"/>
      <c r="AR1367" s="4"/>
      <c r="AS1367" s="4"/>
      <c r="AT1367" s="4"/>
      <c r="AU1367" s="4"/>
      <c r="AV1367" s="4"/>
      <c r="AW1367" s="4"/>
      <c r="AX1367" s="4"/>
      <c r="AY1367" s="4"/>
      <c r="AZ1367" s="4"/>
      <c r="BA1367" s="4"/>
      <c r="BB1367" s="3"/>
      <c r="BC1367" s="3"/>
      <c r="BD1367" s="3"/>
      <c r="BE1367" s="4"/>
      <c r="BF1367" s="3"/>
      <c r="BG1367" s="4"/>
      <c r="BH1367" s="4"/>
      <c r="BI1367" s="3"/>
      <c r="BJ1367" s="4"/>
      <c r="BK1367" s="4"/>
      <c r="BL1367" s="4"/>
      <c r="BM1367" s="4"/>
      <c r="BN1367" s="4"/>
      <c r="BO1367" s="4"/>
      <c r="BP1367" s="4"/>
      <c r="BQ1367" s="4"/>
      <c r="BR1367" s="4"/>
      <c r="BS1367" s="4"/>
      <c r="BT1367" s="4"/>
      <c r="BU1367" s="4"/>
      <c r="BV1367" s="4"/>
      <c r="BW1367" s="4"/>
      <c r="BX1367" s="4"/>
      <c r="BY1367" s="4"/>
      <c r="BZ1367" s="4"/>
      <c r="CA1367" s="4"/>
      <c r="CB1367" s="4"/>
      <c r="CC1367" s="4"/>
      <c r="CD1367" s="4"/>
      <c r="CE1367" s="4"/>
      <c r="CF1367" s="4"/>
      <c r="CG1367" s="4"/>
      <c r="CH1367" s="4"/>
      <c r="CI1367" s="4"/>
      <c r="CJ1367" s="4"/>
      <c r="CK1367" s="4"/>
      <c r="CL1367" s="4"/>
      <c r="CM1367" s="4"/>
      <c r="CN1367" s="4"/>
      <c r="CO1367" s="4"/>
      <c r="CP1367" s="4"/>
      <c r="CQ1367" s="4"/>
      <c r="CR1367" s="4"/>
      <c r="CS1367" s="4"/>
      <c r="CT1367" s="4"/>
      <c r="CU1367" s="4"/>
      <c r="CV1367" s="4"/>
      <c r="CW1367" s="4"/>
      <c r="CX1367" s="4"/>
      <c r="CY1367" s="4"/>
      <c r="CZ1367" s="4"/>
      <c r="DA1367" s="4"/>
      <c r="DB1367" s="3"/>
      <c r="DC1367" s="3"/>
      <c r="DD1367" s="4"/>
      <c r="DE1367" s="4"/>
      <c r="DF1367" s="4"/>
      <c r="DG1367" s="4"/>
      <c r="DH1367" s="4"/>
      <c r="DI1367" s="4"/>
      <c r="DJ1367" s="4"/>
      <c r="DK1367" s="4"/>
      <c r="DL1367" s="4"/>
      <c r="DM1367" s="4"/>
      <c r="DN1367" s="4"/>
      <c r="DO1367" s="4"/>
      <c r="DP1367" s="4"/>
      <c r="DQ1367" s="4"/>
      <c r="DR1367" s="4"/>
      <c r="DS1367" s="4"/>
      <c r="DT1367" s="4"/>
      <c r="DU1367" s="4"/>
      <c r="DV1367" s="4"/>
      <c r="DW1367" s="4"/>
      <c r="DX1367" s="4"/>
      <c r="DY1367" s="4"/>
      <c r="DZ1367" s="4"/>
      <c r="EA1367" s="4"/>
      <c r="EB1367" s="4"/>
      <c r="EC1367" s="4"/>
      <c r="ED1367" s="4"/>
      <c r="EE1367" s="4"/>
      <c r="EF1367" s="4"/>
      <c r="EG1367" s="4"/>
      <c r="EH1367" s="4"/>
      <c r="EI1367" s="4"/>
      <c r="EJ1367" s="4"/>
      <c r="EK1367" s="4"/>
      <c r="EL1367" s="4"/>
      <c r="EM1367" s="4"/>
      <c r="EN1367" s="4"/>
      <c r="EO1367" s="4"/>
    </row>
    <row r="1368" spans="1:147" hidden="1">
      <c r="A1368" s="11" t="s">
        <v>9940</v>
      </c>
      <c r="B1368" s="3" t="s">
        <v>8373</v>
      </c>
      <c r="C1368" s="3">
        <v>2004</v>
      </c>
      <c r="D1368" s="3" t="s">
        <v>1735</v>
      </c>
      <c r="E1368" s="3" t="s">
        <v>8782</v>
      </c>
      <c r="F1368" s="3">
        <v>1</v>
      </c>
      <c r="G1368" s="3"/>
      <c r="H1368" s="3" t="s">
        <v>1739</v>
      </c>
      <c r="I1368" s="3"/>
      <c r="J1368" s="3"/>
      <c r="K1368" s="3" t="s">
        <v>1504</v>
      </c>
      <c r="L1368" s="4"/>
      <c r="M1368" s="3" t="s">
        <v>8783</v>
      </c>
      <c r="T1368" s="3" t="s">
        <v>1737</v>
      </c>
      <c r="V1368" s="3"/>
      <c r="W1368" s="3"/>
      <c r="X1368" s="5" t="s">
        <v>1740</v>
      </c>
      <c r="Y1368" s="5"/>
      <c r="Z1368" s="3">
        <v>1</v>
      </c>
      <c r="AA1368" s="4"/>
      <c r="AB1368" s="3"/>
      <c r="AE1368" s="3"/>
      <c r="AF1368" s="3"/>
      <c r="AG1368" s="4"/>
      <c r="AH1368" s="4"/>
      <c r="AI1368" s="4"/>
      <c r="AJ1368" s="4"/>
      <c r="AK1368" s="3"/>
      <c r="AL1368" s="3"/>
      <c r="AM1368" s="3"/>
      <c r="AN1368" s="3"/>
      <c r="AO1368" s="4"/>
      <c r="AP1368" s="3"/>
      <c r="AQ1368" s="4"/>
      <c r="AR1368" s="3"/>
      <c r="AS1368" s="3"/>
      <c r="AT1368" s="4"/>
      <c r="AU1368" s="3"/>
      <c r="AV1368" s="4"/>
      <c r="AW1368" s="4"/>
      <c r="AX1368" s="4"/>
      <c r="AY1368" s="4"/>
      <c r="AZ1368" s="4"/>
      <c r="BA1368" s="4"/>
      <c r="BB1368" s="4"/>
      <c r="BC1368" s="4"/>
      <c r="BD1368" s="4"/>
      <c r="BE1368" s="4"/>
      <c r="BF1368" s="3"/>
      <c r="BG1368" s="3"/>
      <c r="BH1368" s="3"/>
      <c r="BI1368" s="4"/>
      <c r="BJ1368" s="3"/>
      <c r="BK1368" s="4"/>
      <c r="BL1368" s="4"/>
      <c r="BM1368" s="3"/>
      <c r="BN1368" s="4"/>
      <c r="BO1368" s="4"/>
      <c r="BP1368" s="4"/>
      <c r="BQ1368" s="4"/>
      <c r="BR1368" s="4"/>
      <c r="BS1368" s="4"/>
      <c r="BT1368" s="4"/>
      <c r="BU1368" s="4"/>
      <c r="BV1368" s="4"/>
      <c r="BW1368" s="4"/>
      <c r="BX1368" s="4"/>
      <c r="BY1368" s="4"/>
      <c r="BZ1368" s="4"/>
      <c r="CA1368" s="3"/>
      <c r="CB1368" s="3"/>
      <c r="CC1368" s="8"/>
      <c r="CD1368" s="4"/>
      <c r="CE1368" s="4"/>
      <c r="CF1368" s="4"/>
      <c r="CG1368" s="4"/>
      <c r="CH1368" s="8"/>
      <c r="CI1368" s="8"/>
      <c r="CJ1368" s="8"/>
      <c r="CK1368" s="8"/>
      <c r="CL1368" s="4"/>
      <c r="CM1368" s="4"/>
      <c r="CN1368" s="4"/>
      <c r="CO1368" s="4"/>
      <c r="CP1368" s="4"/>
      <c r="CQ1368" s="4"/>
      <c r="CR1368" s="4"/>
      <c r="CS1368" s="4"/>
      <c r="CT1368" s="4"/>
      <c r="CU1368" s="4"/>
      <c r="CV1368" s="4"/>
      <c r="CW1368" s="4"/>
      <c r="CX1368" s="4"/>
      <c r="CY1368" s="4"/>
      <c r="CZ1368" s="4"/>
      <c r="DA1368" s="4"/>
      <c r="DB1368" s="4"/>
      <c r="DC1368" s="4"/>
      <c r="DD1368" s="4"/>
      <c r="DE1368" s="4"/>
      <c r="DF1368" s="8"/>
      <c r="DG1368" s="8"/>
      <c r="DH1368" s="8"/>
      <c r="DI1368" s="8"/>
      <c r="DJ1368" s="8"/>
      <c r="DK1368" s="8"/>
      <c r="DL1368" s="4"/>
      <c r="DM1368" s="4"/>
      <c r="DN1368" s="4"/>
    </row>
    <row r="1369" spans="1:147" hidden="1">
      <c r="A1369" s="11" t="s">
        <v>9940</v>
      </c>
      <c r="B1369" s="3" t="s">
        <v>8373</v>
      </c>
      <c r="C1369" s="3">
        <v>2002</v>
      </c>
      <c r="D1369" s="3" t="s">
        <v>8784</v>
      </c>
      <c r="E1369" s="3" t="s">
        <v>8785</v>
      </c>
      <c r="F1369" s="3">
        <v>1</v>
      </c>
      <c r="G1369" s="3"/>
      <c r="H1369" s="3" t="s">
        <v>8789</v>
      </c>
      <c r="I1369" s="3"/>
      <c r="J1369" s="3"/>
      <c r="K1369" s="3" t="s">
        <v>1152</v>
      </c>
      <c r="L1369" s="4"/>
      <c r="M1369" s="3" t="s">
        <v>8786</v>
      </c>
      <c r="T1369" s="3" t="s">
        <v>8787</v>
      </c>
      <c r="V1369" s="3"/>
      <c r="W1369" s="4"/>
      <c r="X1369" s="5" t="s">
        <v>8788</v>
      </c>
      <c r="Y1369" s="5"/>
      <c r="Z1369" s="3">
        <v>1</v>
      </c>
      <c r="AA1369" s="4"/>
      <c r="AB1369" s="4"/>
      <c r="AE1369" s="3"/>
      <c r="AF1369" s="3"/>
      <c r="AG1369" s="4"/>
      <c r="AH1369" s="4"/>
      <c r="AI1369" s="4"/>
      <c r="AJ1369" s="4"/>
      <c r="AK1369" s="3"/>
      <c r="AL1369" s="3"/>
      <c r="AM1369" s="3"/>
      <c r="AN1369" s="3"/>
      <c r="AO1369" s="4"/>
      <c r="AP1369" s="3"/>
      <c r="AQ1369" s="4"/>
      <c r="AR1369" s="3"/>
      <c r="AS1369" s="3"/>
      <c r="AT1369" s="4"/>
      <c r="AU1369" s="3"/>
      <c r="AV1369" s="4"/>
      <c r="AW1369" s="4"/>
      <c r="AX1369" s="4"/>
      <c r="AY1369" s="4"/>
      <c r="AZ1369" s="4"/>
      <c r="BA1369" s="4"/>
      <c r="BB1369" s="4"/>
      <c r="BC1369" s="4"/>
      <c r="BD1369" s="4"/>
      <c r="BE1369" s="4"/>
      <c r="BF1369" s="3"/>
      <c r="BG1369" s="3"/>
      <c r="BH1369" s="3"/>
      <c r="BI1369" s="4"/>
      <c r="BJ1369" s="3"/>
      <c r="BK1369" s="4"/>
      <c r="BL1369" s="4"/>
      <c r="BM1369" s="3"/>
      <c r="BN1369" s="4"/>
      <c r="BO1369" s="4"/>
      <c r="BP1369" s="4"/>
      <c r="BQ1369" s="4"/>
      <c r="BR1369" s="4"/>
      <c r="BS1369" s="4"/>
      <c r="BT1369" s="4"/>
      <c r="BU1369" s="4"/>
      <c r="BV1369" s="4"/>
      <c r="BW1369" s="4"/>
      <c r="BX1369" s="4"/>
      <c r="BY1369" s="4"/>
      <c r="BZ1369" s="4"/>
      <c r="CA1369" s="4"/>
      <c r="CB1369" s="4"/>
      <c r="CC1369" s="4"/>
      <c r="CD1369" s="4"/>
      <c r="CE1369" s="4"/>
      <c r="CF1369" s="4"/>
      <c r="CG1369" s="4"/>
      <c r="CH1369" s="4"/>
      <c r="CI1369" s="4"/>
      <c r="CJ1369" s="4"/>
      <c r="CK1369" s="4"/>
      <c r="CL1369" s="4"/>
      <c r="CM1369" s="4"/>
      <c r="CN1369" s="4"/>
      <c r="CO1369" s="4"/>
      <c r="CP1369" s="4"/>
      <c r="CQ1369" s="4"/>
      <c r="CR1369" s="4"/>
      <c r="CS1369" s="4"/>
      <c r="CT1369" s="3"/>
      <c r="CU1369" s="3"/>
      <c r="CV1369" s="8"/>
      <c r="CW1369" s="4"/>
      <c r="CX1369" s="4"/>
      <c r="CY1369" s="4"/>
      <c r="CZ1369" s="4"/>
      <c r="DA1369" s="8"/>
      <c r="DB1369" s="8"/>
      <c r="DC1369" s="8"/>
      <c r="DD1369" s="8"/>
      <c r="DE1369" s="4"/>
      <c r="DF1369" s="4"/>
      <c r="DG1369" s="4"/>
      <c r="DH1369" s="4"/>
      <c r="DI1369" s="4"/>
      <c r="DJ1369" s="4"/>
      <c r="DK1369" s="4"/>
      <c r="DL1369" s="4"/>
      <c r="DM1369" s="4"/>
      <c r="DN1369" s="4"/>
      <c r="DO1369" s="4"/>
      <c r="DP1369" s="4"/>
      <c r="DQ1369" s="4"/>
      <c r="DR1369" s="4"/>
      <c r="DS1369" s="4"/>
      <c r="DT1369" s="4"/>
      <c r="DU1369" s="4"/>
      <c r="DV1369" s="4"/>
      <c r="DW1369" s="4"/>
      <c r="DX1369" s="4"/>
      <c r="DY1369" s="8"/>
      <c r="DZ1369" s="8"/>
      <c r="EA1369" s="8"/>
      <c r="EB1369" s="8"/>
      <c r="EC1369" s="8"/>
      <c r="ED1369" s="8"/>
      <c r="EE1369" s="4"/>
      <c r="EF1369" s="4"/>
      <c r="EG1369" s="4"/>
    </row>
    <row r="1370" spans="1:147" hidden="1">
      <c r="A1370" s="11" t="s">
        <v>9940</v>
      </c>
      <c r="B1370" s="3" t="s">
        <v>8373</v>
      </c>
      <c r="C1370" s="3">
        <v>2002</v>
      </c>
      <c r="D1370" s="3" t="s">
        <v>892</v>
      </c>
      <c r="E1370" s="3" t="s">
        <v>8790</v>
      </c>
      <c r="F1370" s="3">
        <v>1</v>
      </c>
      <c r="G1370" s="3"/>
      <c r="H1370" s="3" t="s">
        <v>8794</v>
      </c>
      <c r="I1370" s="3"/>
      <c r="J1370" s="3"/>
      <c r="K1370" s="3" t="s">
        <v>802</v>
      </c>
      <c r="L1370" s="4"/>
      <c r="M1370" s="3" t="s">
        <v>8791</v>
      </c>
      <c r="T1370" s="3" t="s">
        <v>8792</v>
      </c>
      <c r="V1370" s="3"/>
      <c r="W1370" s="4"/>
      <c r="X1370" s="5" t="s">
        <v>8793</v>
      </c>
      <c r="Y1370" s="5"/>
      <c r="Z1370" s="3">
        <v>1</v>
      </c>
      <c r="AA1370" s="4"/>
      <c r="AB1370" s="4"/>
      <c r="AE1370" s="3"/>
      <c r="AF1370" s="3"/>
      <c r="AG1370" s="4"/>
      <c r="AH1370" s="4"/>
      <c r="AI1370" s="4"/>
      <c r="AJ1370" s="4"/>
      <c r="AK1370" s="3"/>
      <c r="AL1370" s="3"/>
      <c r="AM1370" s="3"/>
      <c r="AN1370" s="3"/>
      <c r="AO1370" s="4"/>
      <c r="AP1370" s="3"/>
      <c r="AQ1370" s="4"/>
      <c r="AR1370" s="3"/>
      <c r="AS1370" s="3"/>
      <c r="AT1370" s="4"/>
      <c r="AU1370" s="3"/>
      <c r="AV1370" s="4"/>
      <c r="AW1370" s="4"/>
      <c r="AX1370" s="4"/>
      <c r="AY1370" s="4"/>
      <c r="AZ1370" s="4"/>
      <c r="BA1370" s="4"/>
      <c r="BB1370" s="4"/>
      <c r="BC1370" s="4"/>
      <c r="BD1370" s="4"/>
      <c r="BE1370" s="4"/>
      <c r="BF1370" s="3"/>
      <c r="BG1370" s="3"/>
      <c r="BH1370" s="3"/>
      <c r="BI1370" s="4"/>
      <c r="BJ1370" s="3"/>
      <c r="BK1370" s="4"/>
      <c r="BL1370" s="4"/>
      <c r="BM1370" s="3"/>
      <c r="BN1370" s="4"/>
      <c r="BO1370" s="4"/>
      <c r="BP1370" s="4"/>
      <c r="BQ1370" s="4"/>
      <c r="BR1370" s="4"/>
      <c r="BS1370" s="4"/>
      <c r="BT1370" s="4"/>
      <c r="BU1370" s="4"/>
      <c r="BV1370" s="4"/>
      <c r="BW1370" s="4"/>
      <c r="BX1370" s="4"/>
      <c r="BY1370" s="4"/>
      <c r="BZ1370" s="4"/>
      <c r="CA1370" s="4"/>
      <c r="CB1370" s="4"/>
      <c r="CC1370" s="4"/>
      <c r="CD1370" s="4"/>
      <c r="CE1370" s="4"/>
      <c r="CF1370" s="4"/>
      <c r="CG1370" s="4"/>
      <c r="CH1370" s="4"/>
      <c r="CI1370" s="4"/>
      <c r="CJ1370" s="4"/>
      <c r="CK1370" s="4"/>
      <c r="CL1370" s="4"/>
      <c r="CM1370" s="4"/>
      <c r="CN1370" s="3"/>
      <c r="CO1370" s="3"/>
      <c r="CP1370" s="8"/>
      <c r="CQ1370" s="4"/>
      <c r="CR1370" s="4"/>
      <c r="CS1370" s="4"/>
      <c r="CT1370" s="4"/>
      <c r="CU1370" s="8"/>
      <c r="CV1370" s="8"/>
      <c r="CW1370" s="8"/>
      <c r="CX1370" s="8"/>
      <c r="CY1370" s="4"/>
      <c r="CZ1370" s="4"/>
      <c r="DA1370" s="4"/>
      <c r="DB1370" s="4"/>
      <c r="DC1370" s="4"/>
      <c r="DD1370" s="4"/>
      <c r="DE1370" s="4"/>
      <c r="DF1370" s="4"/>
      <c r="DG1370" s="4"/>
      <c r="DH1370" s="4"/>
      <c r="DI1370" s="4"/>
      <c r="DJ1370" s="4"/>
      <c r="DK1370" s="4"/>
      <c r="DL1370" s="4"/>
      <c r="DM1370" s="4"/>
      <c r="DN1370" s="4"/>
      <c r="DO1370" s="4"/>
      <c r="DP1370" s="4"/>
      <c r="DQ1370" s="4"/>
      <c r="DR1370" s="4"/>
      <c r="DS1370" s="8"/>
      <c r="DT1370" s="8"/>
      <c r="DU1370" s="8"/>
      <c r="DV1370" s="8"/>
      <c r="DW1370" s="8"/>
      <c r="DX1370" s="8"/>
      <c r="DY1370" s="4"/>
      <c r="DZ1370" s="4"/>
      <c r="EA1370" s="4"/>
    </row>
    <row r="1371" spans="1:147" hidden="1">
      <c r="A1371" s="11" t="s">
        <v>9940</v>
      </c>
      <c r="B1371" s="3" t="s">
        <v>8373</v>
      </c>
      <c r="C1371" s="3">
        <v>2000</v>
      </c>
      <c r="D1371" s="3" t="s">
        <v>8795</v>
      </c>
      <c r="E1371" s="3" t="s">
        <v>8796</v>
      </c>
      <c r="F1371" s="3">
        <v>1</v>
      </c>
      <c r="G1371" s="3"/>
      <c r="H1371" s="3" t="s">
        <v>8799</v>
      </c>
      <c r="I1371" s="3"/>
      <c r="J1371" s="3"/>
      <c r="K1371" s="3" t="s">
        <v>4364</v>
      </c>
      <c r="L1371" s="4"/>
      <c r="M1371" s="3" t="s">
        <v>8797</v>
      </c>
      <c r="T1371" s="4"/>
      <c r="V1371" s="3"/>
      <c r="W1371" s="4"/>
      <c r="X1371" s="5" t="s">
        <v>8798</v>
      </c>
      <c r="Y1371" s="5"/>
      <c r="Z1371" s="3">
        <v>1</v>
      </c>
      <c r="AA1371" s="4"/>
      <c r="AB1371" s="4"/>
      <c r="AE1371" s="3"/>
      <c r="AF1371" s="3"/>
      <c r="AG1371" s="4"/>
      <c r="AH1371" s="4"/>
      <c r="AI1371" s="3"/>
      <c r="AJ1371" s="3"/>
      <c r="AK1371" s="3"/>
      <c r="AL1371" s="3"/>
      <c r="AM1371" s="3"/>
      <c r="AN1371" s="3"/>
      <c r="AO1371" s="4"/>
      <c r="AP1371" s="3"/>
      <c r="AQ1371" s="4"/>
      <c r="AR1371" s="3"/>
      <c r="AS1371" s="3"/>
      <c r="AT1371" s="4"/>
      <c r="AU1371" s="3"/>
      <c r="AV1371" s="4"/>
      <c r="AW1371" s="4"/>
      <c r="AX1371" s="4"/>
      <c r="AY1371" s="4"/>
      <c r="AZ1371" s="4"/>
      <c r="BA1371" s="4"/>
      <c r="BB1371" s="4"/>
      <c r="BC1371" s="4"/>
      <c r="BD1371" s="4"/>
      <c r="BE1371" s="4"/>
      <c r="BF1371" s="3"/>
      <c r="BG1371" s="3"/>
      <c r="BH1371" s="3"/>
      <c r="BI1371" s="4"/>
      <c r="BJ1371" s="3"/>
      <c r="BK1371" s="4"/>
      <c r="BL1371" s="3"/>
      <c r="BM1371" s="4"/>
      <c r="BN1371" s="4"/>
      <c r="BO1371" s="4"/>
      <c r="BP1371" s="4"/>
      <c r="BQ1371" s="4"/>
      <c r="BR1371" s="4"/>
      <c r="BS1371" s="4"/>
      <c r="BT1371" s="4"/>
      <c r="BU1371" s="4"/>
      <c r="BV1371" s="4"/>
      <c r="BW1371" s="4"/>
      <c r="BX1371" s="4"/>
      <c r="BY1371" s="4"/>
      <c r="BZ1371" s="4"/>
      <c r="CA1371" s="4"/>
      <c r="CB1371" s="4"/>
      <c r="CC1371" s="4"/>
      <c r="CD1371" s="4"/>
      <c r="CE1371" s="4"/>
      <c r="CF1371" s="4"/>
      <c r="CG1371" s="4"/>
      <c r="CH1371" s="4"/>
      <c r="CI1371" s="4"/>
      <c r="CJ1371" s="4"/>
      <c r="CK1371" s="4"/>
      <c r="CL1371" s="4"/>
      <c r="CM1371" s="4"/>
      <c r="CN1371" s="4"/>
      <c r="CO1371" s="4"/>
      <c r="CP1371" s="4"/>
      <c r="CQ1371" s="4"/>
      <c r="CR1371" s="4"/>
      <c r="CS1371" s="4"/>
      <c r="CT1371" s="4"/>
      <c r="CU1371" s="4"/>
      <c r="CV1371" s="3"/>
      <c r="CW1371" s="3"/>
      <c r="CX1371" s="8"/>
      <c r="CY1371" s="4"/>
      <c r="CZ1371" s="4"/>
      <c r="DA1371" s="4"/>
      <c r="DB1371" s="4"/>
      <c r="DC1371" s="8"/>
      <c r="DD1371" s="8"/>
      <c r="DE1371" s="8"/>
      <c r="DF1371" s="8"/>
      <c r="DG1371" s="4"/>
      <c r="DH1371" s="4"/>
      <c r="DI1371" s="4"/>
      <c r="DJ1371" s="4"/>
      <c r="DK1371" s="4"/>
      <c r="DL1371" s="4"/>
      <c r="DM1371" s="4"/>
      <c r="DN1371" s="4"/>
      <c r="DO1371" s="4"/>
      <c r="DP1371" s="4"/>
      <c r="DQ1371" s="4"/>
      <c r="DR1371" s="4"/>
      <c r="DS1371" s="4"/>
      <c r="DT1371" s="4"/>
      <c r="DU1371" s="4"/>
      <c r="DV1371" s="4"/>
      <c r="DW1371" s="4"/>
      <c r="DX1371" s="4"/>
      <c r="DY1371" s="4"/>
      <c r="DZ1371" s="4"/>
      <c r="EA1371" s="8"/>
      <c r="EB1371" s="8"/>
      <c r="EC1371" s="8"/>
      <c r="ED1371" s="8"/>
      <c r="EE1371" s="8"/>
      <c r="EF1371" s="8"/>
      <c r="EG1371" s="4"/>
      <c r="EH1371" s="4"/>
      <c r="EI1371" s="4"/>
    </row>
    <row r="1372" spans="1:147" hidden="1">
      <c r="A1372" s="11" t="s">
        <v>9940</v>
      </c>
      <c r="B1372" s="3" t="s">
        <v>8373</v>
      </c>
      <c r="C1372" s="3">
        <v>2005</v>
      </c>
      <c r="D1372" s="3" t="s">
        <v>5423</v>
      </c>
      <c r="E1372" s="3" t="s">
        <v>8800</v>
      </c>
      <c r="F1372" s="3">
        <v>1</v>
      </c>
      <c r="G1372" s="3"/>
      <c r="H1372" s="3" t="s">
        <v>5427</v>
      </c>
      <c r="I1372" s="3"/>
      <c r="J1372" s="3"/>
      <c r="K1372" s="3" t="s">
        <v>703</v>
      </c>
      <c r="L1372" s="4"/>
      <c r="M1372" s="3" t="s">
        <v>8801</v>
      </c>
      <c r="T1372" s="3" t="s">
        <v>5425</v>
      </c>
      <c r="V1372" s="3"/>
      <c r="W1372" s="4"/>
      <c r="X1372" s="5" t="s">
        <v>5428</v>
      </c>
      <c r="Y1372" s="5"/>
      <c r="Z1372" s="3">
        <v>1</v>
      </c>
      <c r="AA1372" s="4"/>
      <c r="AB1372" s="4"/>
      <c r="AE1372" s="3"/>
      <c r="AF1372" s="3"/>
      <c r="AG1372" s="4"/>
      <c r="AH1372" s="4"/>
      <c r="AI1372" s="4"/>
      <c r="AJ1372" s="4"/>
      <c r="AK1372" s="3"/>
      <c r="AL1372" s="3"/>
      <c r="AM1372" s="3"/>
      <c r="AN1372" s="3"/>
      <c r="AO1372" s="4"/>
      <c r="AP1372" s="3"/>
      <c r="AQ1372" s="4"/>
      <c r="AR1372" s="3"/>
      <c r="AS1372" s="3"/>
      <c r="AT1372" s="4"/>
      <c r="AU1372" s="3"/>
      <c r="AV1372" s="4"/>
      <c r="AW1372" s="4"/>
      <c r="AX1372" s="4"/>
      <c r="AY1372" s="4"/>
      <c r="AZ1372" s="4"/>
      <c r="BA1372" s="4"/>
      <c r="BB1372" s="4"/>
      <c r="BC1372" s="4"/>
      <c r="BD1372" s="4"/>
      <c r="BE1372" s="4"/>
      <c r="BF1372" s="3"/>
      <c r="BG1372" s="3"/>
      <c r="BH1372" s="3"/>
      <c r="BI1372" s="4"/>
      <c r="BJ1372" s="3"/>
      <c r="BK1372" s="4"/>
      <c r="BL1372" s="4"/>
      <c r="BM1372" s="3"/>
      <c r="BN1372" s="4"/>
      <c r="BO1372" s="4"/>
      <c r="BP1372" s="4"/>
      <c r="BQ1372" s="4"/>
      <c r="BR1372" s="4"/>
      <c r="BS1372" s="4"/>
      <c r="BT1372" s="4"/>
      <c r="BU1372" s="4"/>
      <c r="BV1372" s="4"/>
      <c r="BW1372" s="4"/>
      <c r="BX1372" s="4"/>
      <c r="BY1372" s="4"/>
      <c r="BZ1372" s="4"/>
      <c r="CA1372" s="4"/>
      <c r="CB1372" s="4"/>
      <c r="CC1372" s="4"/>
      <c r="CD1372" s="4"/>
      <c r="CE1372" s="4"/>
      <c r="CF1372" s="4"/>
      <c r="CG1372" s="4"/>
      <c r="CH1372" s="4"/>
      <c r="CI1372" s="4"/>
      <c r="CJ1372" s="4"/>
      <c r="CK1372" s="4"/>
      <c r="CL1372" s="4"/>
      <c r="CM1372" s="4"/>
      <c r="CN1372" s="4"/>
      <c r="CO1372" s="4"/>
      <c r="CP1372" s="4"/>
      <c r="CQ1372" s="4"/>
      <c r="CR1372" s="4"/>
      <c r="CS1372" s="4"/>
      <c r="CT1372" s="4"/>
      <c r="CU1372" s="4"/>
      <c r="CV1372" s="4"/>
      <c r="CW1372" s="4"/>
      <c r="CX1372" s="4"/>
      <c r="CY1372" s="4"/>
      <c r="CZ1372" s="4"/>
      <c r="DA1372" s="4"/>
      <c r="DB1372" s="4"/>
      <c r="DC1372" s="3"/>
      <c r="DD1372" s="3"/>
      <c r="DE1372" s="8"/>
      <c r="DF1372" s="4"/>
      <c r="DG1372" s="4"/>
      <c r="DH1372" s="4"/>
      <c r="DI1372" s="4"/>
      <c r="DJ1372" s="8"/>
      <c r="DK1372" s="8"/>
      <c r="DL1372" s="8"/>
      <c r="DM1372" s="8"/>
      <c r="DN1372" s="4"/>
      <c r="DO1372" s="4"/>
      <c r="DP1372" s="4"/>
      <c r="DQ1372" s="4"/>
      <c r="DR1372" s="4"/>
      <c r="DS1372" s="4"/>
      <c r="DT1372" s="4"/>
      <c r="DU1372" s="4"/>
      <c r="DV1372" s="4"/>
      <c r="DW1372" s="4"/>
      <c r="DX1372" s="4"/>
      <c r="DY1372" s="4"/>
      <c r="DZ1372" s="4"/>
      <c r="EA1372" s="4"/>
      <c r="EB1372" s="4"/>
      <c r="EC1372" s="4"/>
      <c r="ED1372" s="4"/>
      <c r="EE1372" s="4"/>
      <c r="EF1372" s="4"/>
      <c r="EG1372" s="4"/>
      <c r="EH1372" s="8"/>
      <c r="EI1372" s="8"/>
      <c r="EJ1372" s="8"/>
      <c r="EK1372" s="8"/>
      <c r="EL1372" s="8"/>
      <c r="EM1372" s="8"/>
      <c r="EN1372" s="4"/>
      <c r="EO1372" s="4"/>
      <c r="EP1372" s="4"/>
    </row>
    <row r="1373" spans="1:147" hidden="1">
      <c r="A1373" s="11" t="s">
        <v>9940</v>
      </c>
      <c r="B1373" s="3" t="s">
        <v>8373</v>
      </c>
      <c r="C1373" s="3">
        <v>2015</v>
      </c>
      <c r="D1373" s="3" t="s">
        <v>3464</v>
      </c>
      <c r="E1373" s="3" t="s">
        <v>9510</v>
      </c>
      <c r="F1373" s="3">
        <v>0</v>
      </c>
      <c r="G1373" s="3" t="s">
        <v>9237</v>
      </c>
      <c r="H1373" s="3" t="s">
        <v>3468</v>
      </c>
      <c r="I1373" s="3"/>
      <c r="J1373" s="3"/>
      <c r="K1373" s="3" t="s">
        <v>2613</v>
      </c>
      <c r="L1373" s="4"/>
      <c r="M1373" s="3" t="s">
        <v>9511</v>
      </c>
      <c r="T1373" s="3" t="s">
        <v>3466</v>
      </c>
      <c r="V1373" s="4"/>
      <c r="W1373" s="4"/>
      <c r="X1373" s="5" t="s">
        <v>3469</v>
      </c>
      <c r="Y1373" s="5"/>
      <c r="Z1373" s="4"/>
      <c r="AA1373" s="4"/>
      <c r="AB1373" s="4"/>
      <c r="AE1373" s="4"/>
      <c r="AF1373" s="4"/>
      <c r="AG1373" s="3"/>
      <c r="AH1373" s="3"/>
      <c r="AI1373" s="3"/>
      <c r="AJ1373" s="3"/>
      <c r="AK1373" s="4"/>
      <c r="AL1373" s="3"/>
      <c r="AM1373" s="4"/>
      <c r="AN1373" s="3"/>
      <c r="AO1373" s="3"/>
      <c r="AP1373" s="4"/>
      <c r="AQ1373" s="3"/>
      <c r="AR1373" s="4"/>
      <c r="AS1373" s="4"/>
      <c r="AT1373" s="4"/>
      <c r="AU1373" s="4"/>
      <c r="AV1373" s="4"/>
      <c r="AW1373" s="4"/>
      <c r="AX1373" s="4"/>
      <c r="AY1373" s="4"/>
      <c r="AZ1373" s="4"/>
      <c r="BA1373" s="4"/>
      <c r="BB1373" s="3"/>
      <c r="BC1373" s="3"/>
      <c r="BD1373" s="3"/>
      <c r="BE1373" s="4"/>
      <c r="BF1373" s="3"/>
      <c r="BG1373" s="4"/>
      <c r="BH1373" s="4"/>
      <c r="BI1373" s="3"/>
      <c r="BJ1373" s="4"/>
      <c r="BK1373" s="4"/>
      <c r="BL1373" s="4"/>
      <c r="BM1373" s="4"/>
      <c r="BN1373" s="4"/>
      <c r="BO1373" s="4"/>
      <c r="BP1373" s="4"/>
      <c r="BQ1373" s="4"/>
      <c r="BR1373" s="4"/>
      <c r="BS1373" s="4"/>
      <c r="BT1373" s="4"/>
      <c r="BU1373" s="4"/>
      <c r="BV1373" s="4"/>
      <c r="BW1373" s="4"/>
      <c r="BX1373" s="4"/>
      <c r="BY1373" s="4"/>
      <c r="BZ1373" s="4"/>
      <c r="CA1373" s="4"/>
      <c r="CB1373" s="4"/>
      <c r="CC1373" s="4"/>
      <c r="CD1373" s="4"/>
      <c r="CE1373" s="4"/>
      <c r="CF1373" s="4"/>
      <c r="CG1373" s="4"/>
      <c r="CH1373" s="4"/>
      <c r="CI1373" s="4"/>
      <c r="CJ1373" s="4"/>
      <c r="CK1373" s="4"/>
      <c r="CL1373" s="4"/>
      <c r="CM1373" s="4"/>
      <c r="CN1373" s="4"/>
      <c r="CO1373" s="4"/>
      <c r="CP1373" s="4"/>
      <c r="CQ1373" s="4"/>
      <c r="CR1373" s="4"/>
      <c r="CS1373" s="4"/>
      <c r="CT1373" s="4"/>
      <c r="CU1373" s="4"/>
      <c r="CV1373" s="4"/>
      <c r="CW1373" s="4"/>
      <c r="CX1373" s="4"/>
      <c r="CY1373" s="4"/>
      <c r="CZ1373" s="4"/>
      <c r="DA1373" s="4"/>
      <c r="DB1373" s="3"/>
      <c r="DC1373" s="3"/>
      <c r="DD1373" s="4"/>
      <c r="DE1373" s="4"/>
      <c r="DF1373" s="4"/>
      <c r="DG1373" s="4"/>
      <c r="DH1373" s="4"/>
      <c r="DI1373" s="4"/>
      <c r="DJ1373" s="4"/>
      <c r="DK1373" s="4"/>
      <c r="DL1373" s="4"/>
      <c r="DM1373" s="4"/>
      <c r="DN1373" s="4"/>
      <c r="DO1373" s="4"/>
      <c r="DP1373" s="4"/>
      <c r="DQ1373" s="4"/>
      <c r="DR1373" s="4"/>
      <c r="DS1373" s="4"/>
      <c r="DT1373" s="4"/>
      <c r="DU1373" s="4"/>
      <c r="DV1373" s="4"/>
      <c r="DW1373" s="4"/>
      <c r="DX1373" s="4"/>
      <c r="DY1373" s="4"/>
      <c r="DZ1373" s="4"/>
      <c r="EA1373" s="4"/>
      <c r="EB1373" s="4"/>
      <c r="EC1373" s="4"/>
      <c r="ED1373" s="4"/>
      <c r="EE1373" s="4"/>
      <c r="EF1373" s="4"/>
      <c r="EG1373" s="4"/>
      <c r="EH1373" s="4"/>
      <c r="EI1373" s="4"/>
      <c r="EJ1373" s="4"/>
      <c r="EK1373" s="4"/>
      <c r="EL1373" s="4"/>
      <c r="EM1373" s="4"/>
      <c r="EN1373" s="4"/>
      <c r="EO1373" s="4"/>
    </row>
    <row r="1374" spans="1:147" hidden="1">
      <c r="A1374" s="11" t="s">
        <v>9940</v>
      </c>
      <c r="B1374" s="3" t="s">
        <v>8373</v>
      </c>
      <c r="C1374" s="3">
        <v>2008</v>
      </c>
      <c r="D1374" s="3" t="s">
        <v>8802</v>
      </c>
      <c r="E1374" s="3" t="s">
        <v>8803</v>
      </c>
      <c r="F1374" s="3">
        <v>1</v>
      </c>
      <c r="G1374" s="3"/>
      <c r="H1374" s="3" t="s">
        <v>6546</v>
      </c>
      <c r="I1374" s="3"/>
      <c r="J1374" s="3"/>
      <c r="K1374" s="3" t="s">
        <v>6541</v>
      </c>
      <c r="L1374" s="4"/>
      <c r="M1374" s="3" t="s">
        <v>8804</v>
      </c>
      <c r="T1374" s="3" t="s">
        <v>6543</v>
      </c>
      <c r="V1374" s="3"/>
      <c r="W1374" s="4"/>
      <c r="X1374" s="5" t="s">
        <v>6547</v>
      </c>
      <c r="Y1374" s="5"/>
      <c r="Z1374" s="3">
        <v>1</v>
      </c>
      <c r="AA1374" s="4"/>
      <c r="AB1374" s="4"/>
      <c r="AE1374" s="3"/>
      <c r="AF1374" s="3"/>
      <c r="AG1374" s="4"/>
      <c r="AH1374" s="4"/>
      <c r="AI1374" s="4"/>
      <c r="AJ1374" s="4"/>
      <c r="AK1374" s="3"/>
      <c r="AL1374" s="3"/>
      <c r="AM1374" s="3"/>
      <c r="AN1374" s="3"/>
      <c r="AO1374" s="4"/>
      <c r="AP1374" s="3"/>
      <c r="AQ1374" s="4"/>
      <c r="AR1374" s="3"/>
      <c r="AS1374" s="3"/>
      <c r="AT1374" s="4"/>
      <c r="AU1374" s="3"/>
      <c r="AV1374" s="4"/>
      <c r="AW1374" s="4"/>
      <c r="AX1374" s="4"/>
      <c r="AY1374" s="4"/>
      <c r="AZ1374" s="4"/>
      <c r="BA1374" s="4"/>
      <c r="BB1374" s="4"/>
      <c r="BC1374" s="4"/>
      <c r="BD1374" s="4"/>
      <c r="BE1374" s="4"/>
      <c r="BF1374" s="3"/>
      <c r="BG1374" s="3"/>
      <c r="BH1374" s="3"/>
      <c r="BI1374" s="4"/>
      <c r="BJ1374" s="3"/>
      <c r="BK1374" s="4"/>
      <c r="BL1374" s="3"/>
      <c r="BM1374" s="4"/>
      <c r="BN1374" s="4"/>
      <c r="BO1374" s="4"/>
      <c r="BP1374" s="4"/>
      <c r="BQ1374" s="4"/>
      <c r="BR1374" s="4"/>
      <c r="BS1374" s="4"/>
      <c r="BT1374" s="4"/>
      <c r="BU1374" s="4"/>
      <c r="BV1374" s="4"/>
      <c r="BW1374" s="4"/>
      <c r="BX1374" s="4"/>
      <c r="BY1374" s="4"/>
      <c r="BZ1374" s="4"/>
      <c r="CA1374" s="4"/>
      <c r="CB1374" s="4"/>
      <c r="CC1374" s="4"/>
      <c r="CD1374" s="4"/>
      <c r="CE1374" s="4"/>
      <c r="CF1374" s="4"/>
      <c r="CG1374" s="4"/>
      <c r="CH1374" s="4"/>
      <c r="CI1374" s="4"/>
      <c r="CJ1374" s="4"/>
      <c r="CK1374" s="4"/>
      <c r="CL1374" s="4"/>
      <c r="CM1374" s="4"/>
      <c r="CN1374" s="4"/>
      <c r="CO1374" s="4"/>
      <c r="CP1374" s="4"/>
      <c r="CQ1374" s="4"/>
      <c r="CR1374" s="4"/>
      <c r="CS1374" s="4"/>
      <c r="CT1374" s="4"/>
      <c r="CU1374" s="4"/>
      <c r="CV1374" s="4"/>
      <c r="CW1374" s="4"/>
      <c r="CX1374" s="4"/>
      <c r="CY1374" s="3"/>
      <c r="CZ1374" s="3"/>
      <c r="DA1374" s="8"/>
      <c r="DB1374" s="4"/>
      <c r="DC1374" s="4"/>
      <c r="DD1374" s="4"/>
      <c r="DE1374" s="4"/>
      <c r="DF1374" s="8"/>
      <c r="DG1374" s="8"/>
      <c r="DH1374" s="8"/>
      <c r="DI1374" s="8"/>
      <c r="DJ1374" s="4"/>
      <c r="DK1374" s="4"/>
      <c r="DL1374" s="4"/>
      <c r="DM1374" s="4"/>
      <c r="DN1374" s="4"/>
      <c r="DO1374" s="4"/>
      <c r="DP1374" s="4"/>
      <c r="DQ1374" s="4"/>
      <c r="DR1374" s="4"/>
      <c r="DS1374" s="4"/>
      <c r="DT1374" s="4"/>
      <c r="DU1374" s="4"/>
      <c r="DV1374" s="4"/>
      <c r="DW1374" s="4"/>
      <c r="DX1374" s="4"/>
      <c r="DY1374" s="4"/>
      <c r="DZ1374" s="4"/>
      <c r="EA1374" s="4"/>
      <c r="EB1374" s="4"/>
      <c r="EC1374" s="4"/>
      <c r="ED1374" s="8"/>
      <c r="EE1374" s="8"/>
      <c r="EF1374" s="8"/>
      <c r="EG1374" s="8"/>
      <c r="EH1374" s="8"/>
      <c r="EI1374" s="8"/>
      <c r="EJ1374" s="4"/>
      <c r="EK1374" s="4"/>
      <c r="EL1374" s="4"/>
    </row>
    <row r="1375" spans="1:147" hidden="1">
      <c r="A1375" s="11" t="s">
        <v>9940</v>
      </c>
      <c r="B1375" s="3" t="s">
        <v>8373</v>
      </c>
      <c r="C1375" s="3">
        <v>1995</v>
      </c>
      <c r="D1375" s="3" t="s">
        <v>8805</v>
      </c>
      <c r="E1375" s="3" t="s">
        <v>8806</v>
      </c>
      <c r="F1375" s="3">
        <v>1</v>
      </c>
      <c r="G1375" s="3"/>
      <c r="H1375" s="3" t="s">
        <v>8809</v>
      </c>
      <c r="I1375" s="3"/>
      <c r="J1375" s="3"/>
      <c r="K1375" s="3" t="s">
        <v>93</v>
      </c>
      <c r="L1375" s="4"/>
      <c r="M1375" s="3" t="s">
        <v>8511</v>
      </c>
      <c r="T1375" s="3" t="s">
        <v>8807</v>
      </c>
      <c r="V1375" s="3"/>
      <c r="W1375" s="4"/>
      <c r="X1375" s="5" t="s">
        <v>8808</v>
      </c>
      <c r="Y1375" s="5"/>
      <c r="Z1375" s="3">
        <v>1</v>
      </c>
      <c r="AA1375" s="4"/>
      <c r="AB1375" s="3"/>
      <c r="AE1375" s="3"/>
      <c r="AF1375" s="3"/>
      <c r="AG1375" s="4"/>
      <c r="AH1375" s="4"/>
      <c r="AI1375" s="4"/>
      <c r="AJ1375" s="4"/>
      <c r="AK1375" s="3"/>
      <c r="AL1375" s="3"/>
      <c r="AM1375" s="3"/>
      <c r="AN1375" s="3"/>
      <c r="AO1375" s="4"/>
      <c r="AP1375" s="3"/>
      <c r="AQ1375" s="4"/>
      <c r="AR1375" s="3"/>
      <c r="AS1375" s="3"/>
      <c r="AT1375" s="4"/>
      <c r="AU1375" s="3"/>
      <c r="AV1375" s="4"/>
      <c r="AW1375" s="4"/>
      <c r="AX1375" s="4"/>
      <c r="AY1375" s="4"/>
      <c r="AZ1375" s="4"/>
      <c r="BA1375" s="4"/>
      <c r="BB1375" s="4"/>
      <c r="BC1375" s="4"/>
      <c r="BD1375" s="4"/>
      <c r="BE1375" s="4"/>
      <c r="BF1375" s="3"/>
      <c r="BG1375" s="3"/>
      <c r="BH1375" s="3"/>
      <c r="BI1375" s="4"/>
      <c r="BJ1375" s="3"/>
      <c r="BK1375" s="4"/>
      <c r="BL1375" s="4"/>
      <c r="BM1375" s="3"/>
      <c r="BN1375" s="4"/>
      <c r="BO1375" s="4"/>
      <c r="BP1375" s="4"/>
      <c r="BQ1375" s="4"/>
      <c r="BR1375" s="4"/>
      <c r="BS1375" s="4"/>
      <c r="BT1375" s="4"/>
      <c r="BU1375" s="4"/>
      <c r="BV1375" s="4"/>
      <c r="BW1375" s="4"/>
      <c r="BX1375" s="4"/>
      <c r="BY1375" s="4"/>
      <c r="BZ1375" s="4"/>
      <c r="CA1375" s="4"/>
      <c r="CB1375" s="4"/>
      <c r="CC1375" s="4"/>
      <c r="CD1375" s="4"/>
      <c r="CE1375" s="4"/>
      <c r="CF1375" s="4"/>
      <c r="CG1375" s="4"/>
      <c r="CH1375" s="4"/>
      <c r="CI1375" s="4"/>
      <c r="CJ1375" s="4"/>
      <c r="CK1375" s="4"/>
      <c r="CL1375" s="4"/>
      <c r="CM1375" s="4"/>
      <c r="CN1375" s="4"/>
      <c r="CO1375" s="4"/>
      <c r="CP1375" s="4"/>
      <c r="CQ1375" s="4"/>
      <c r="CR1375" s="4"/>
      <c r="CS1375" s="4"/>
      <c r="CT1375" s="4"/>
      <c r="CU1375" s="3"/>
      <c r="CV1375" s="3"/>
      <c r="CW1375" s="8"/>
      <c r="CX1375" s="4"/>
      <c r="CY1375" s="4"/>
      <c r="CZ1375" s="4"/>
      <c r="DA1375" s="4"/>
      <c r="DB1375" s="8"/>
      <c r="DC1375" s="8"/>
      <c r="DD1375" s="8"/>
      <c r="DE1375" s="8"/>
      <c r="DF1375" s="4"/>
      <c r="DG1375" s="4"/>
      <c r="DH1375" s="4"/>
      <c r="DI1375" s="4"/>
      <c r="DJ1375" s="4"/>
      <c r="DK1375" s="4"/>
      <c r="DL1375" s="4"/>
      <c r="DM1375" s="4"/>
      <c r="DN1375" s="4"/>
      <c r="DO1375" s="4"/>
      <c r="DP1375" s="4"/>
      <c r="DQ1375" s="4"/>
      <c r="DR1375" s="4"/>
      <c r="DS1375" s="4"/>
      <c r="DT1375" s="4"/>
      <c r="DU1375" s="4"/>
      <c r="DV1375" s="4"/>
      <c r="DW1375" s="4"/>
      <c r="DX1375" s="4"/>
      <c r="DY1375" s="4"/>
      <c r="DZ1375" s="8"/>
      <c r="EA1375" s="8"/>
      <c r="EB1375" s="8"/>
      <c r="EC1375" s="8"/>
      <c r="ED1375" s="8"/>
      <c r="EE1375" s="8"/>
      <c r="EF1375" s="4"/>
      <c r="EG1375" s="4"/>
      <c r="EH1375" s="4"/>
    </row>
    <row r="1376" spans="1:147" hidden="1">
      <c r="A1376" s="11" t="s">
        <v>9940</v>
      </c>
      <c r="B1376" s="3" t="s">
        <v>8373</v>
      </c>
      <c r="C1376" s="3">
        <v>2001</v>
      </c>
      <c r="D1376" s="3" t="s">
        <v>9512</v>
      </c>
      <c r="E1376" s="3" t="s">
        <v>9513</v>
      </c>
      <c r="F1376" s="3">
        <v>1</v>
      </c>
      <c r="G1376" s="3"/>
      <c r="H1376" s="3" t="s">
        <v>9518</v>
      </c>
      <c r="I1376" s="3"/>
      <c r="J1376" s="3"/>
      <c r="K1376" s="3" t="s">
        <v>9514</v>
      </c>
      <c r="L1376" s="4"/>
      <c r="M1376" s="3" t="s">
        <v>9515</v>
      </c>
      <c r="T1376" s="3" t="s">
        <v>9516</v>
      </c>
      <c r="V1376" s="3"/>
      <c r="W1376" s="3"/>
      <c r="X1376" s="5" t="s">
        <v>9517</v>
      </c>
      <c r="Y1376" s="5"/>
      <c r="Z1376" s="3">
        <v>0</v>
      </c>
      <c r="AA1376" s="3" t="s">
        <v>9178</v>
      </c>
      <c r="AB1376" s="4"/>
      <c r="AE1376" s="3"/>
      <c r="AF1376" s="4"/>
      <c r="AG1376" s="4"/>
      <c r="AH1376" s="4"/>
      <c r="AI1376" s="4"/>
      <c r="AJ1376" s="4"/>
      <c r="AK1376" s="3"/>
      <c r="AL1376" s="3"/>
      <c r="AM1376" s="3"/>
      <c r="AN1376" s="3"/>
      <c r="AO1376" s="4"/>
      <c r="AP1376" s="3"/>
      <c r="AQ1376" s="4"/>
      <c r="AR1376" s="3"/>
      <c r="AS1376" s="3"/>
      <c r="AT1376" s="4"/>
      <c r="AU1376" s="3"/>
      <c r="AV1376" s="4"/>
      <c r="AW1376" s="4"/>
      <c r="AX1376" s="4"/>
      <c r="AY1376" s="4"/>
      <c r="AZ1376" s="4"/>
      <c r="BA1376" s="4"/>
      <c r="BB1376" s="4"/>
      <c r="BC1376" s="4"/>
      <c r="BD1376" s="4"/>
      <c r="BE1376" s="4"/>
      <c r="BF1376" s="3"/>
      <c r="BG1376" s="3"/>
      <c r="BH1376" s="3"/>
      <c r="BI1376" s="4"/>
      <c r="BJ1376" s="3"/>
      <c r="BK1376" s="4"/>
      <c r="BL1376" s="4"/>
      <c r="BM1376" s="3"/>
      <c r="BN1376" s="4"/>
      <c r="BO1376" s="4"/>
      <c r="BP1376" s="4"/>
      <c r="BQ1376" s="4"/>
      <c r="BR1376" s="4"/>
      <c r="BS1376" s="4"/>
      <c r="BT1376" s="4"/>
      <c r="BU1376" s="4"/>
      <c r="BV1376" s="4"/>
      <c r="BW1376" s="4"/>
      <c r="BX1376" s="4"/>
      <c r="BY1376" s="4"/>
      <c r="BZ1376" s="4"/>
      <c r="CA1376" s="4"/>
      <c r="CB1376" s="4"/>
      <c r="CC1376" s="4"/>
      <c r="CD1376" s="4"/>
      <c r="CE1376" s="4"/>
      <c r="CF1376" s="4"/>
      <c r="CG1376" s="4"/>
      <c r="CH1376" s="4"/>
      <c r="CI1376" s="4"/>
      <c r="CJ1376" s="4"/>
      <c r="CK1376" s="4"/>
      <c r="CL1376" s="4"/>
      <c r="CM1376" s="4"/>
      <c r="CN1376" s="4"/>
      <c r="CO1376" s="4"/>
      <c r="CP1376" s="4"/>
      <c r="CQ1376" s="4"/>
      <c r="CR1376" s="4"/>
      <c r="CS1376" s="4"/>
      <c r="CT1376" s="4"/>
      <c r="CU1376" s="4"/>
      <c r="CV1376" s="4"/>
      <c r="CW1376" s="4"/>
      <c r="CX1376" s="4"/>
      <c r="CY1376" s="4"/>
      <c r="CZ1376" s="4"/>
      <c r="DA1376" s="4"/>
      <c r="DB1376" s="4"/>
      <c r="DC1376" s="4"/>
      <c r="DD1376" s="3"/>
      <c r="DE1376" s="3"/>
      <c r="DF1376" s="4"/>
      <c r="DG1376" s="4"/>
      <c r="DH1376" s="4"/>
      <c r="DI1376" s="4"/>
      <c r="DJ1376" s="4"/>
      <c r="DK1376" s="4"/>
      <c r="DL1376" s="4"/>
      <c r="DM1376" s="4"/>
      <c r="DN1376" s="4"/>
      <c r="DO1376" s="4"/>
      <c r="DP1376" s="4"/>
      <c r="DQ1376" s="4"/>
      <c r="DR1376" s="4"/>
      <c r="DS1376" s="4"/>
      <c r="DT1376" s="4"/>
      <c r="DU1376" s="4"/>
      <c r="DV1376" s="4"/>
      <c r="DW1376" s="4"/>
      <c r="DX1376" s="4"/>
      <c r="DY1376" s="4"/>
      <c r="DZ1376" s="4"/>
      <c r="EA1376" s="4"/>
      <c r="EB1376" s="4"/>
      <c r="EC1376" s="4"/>
      <c r="ED1376" s="4"/>
      <c r="EE1376" s="4"/>
      <c r="EF1376" s="4"/>
      <c r="EG1376" s="4"/>
      <c r="EH1376" s="4"/>
      <c r="EI1376" s="4"/>
      <c r="EJ1376" s="4"/>
      <c r="EK1376" s="4"/>
      <c r="EL1376" s="4"/>
      <c r="EM1376" s="4"/>
      <c r="EN1376" s="4"/>
      <c r="EO1376" s="4"/>
      <c r="EP1376" s="4"/>
      <c r="EQ1376" s="4"/>
    </row>
    <row r="1377" spans="1:150" hidden="1">
      <c r="A1377" s="11" t="s">
        <v>9940</v>
      </c>
      <c r="B1377" s="3" t="s">
        <v>8373</v>
      </c>
      <c r="C1377" s="3">
        <v>2010</v>
      </c>
      <c r="D1377" s="3" t="s">
        <v>7435</v>
      </c>
      <c r="E1377" s="3" t="s">
        <v>8810</v>
      </c>
      <c r="F1377" s="3">
        <v>1</v>
      </c>
      <c r="G1377" s="3"/>
      <c r="H1377" s="3" t="s">
        <v>7440</v>
      </c>
      <c r="I1377" s="3"/>
      <c r="J1377" s="3"/>
      <c r="K1377" s="3" t="s">
        <v>7436</v>
      </c>
      <c r="L1377" s="4"/>
      <c r="M1377" s="3" t="s">
        <v>8811</v>
      </c>
      <c r="T1377" s="3" t="s">
        <v>7438</v>
      </c>
      <c r="V1377" s="3"/>
      <c r="W1377" s="4"/>
      <c r="X1377" s="5" t="s">
        <v>7441</v>
      </c>
      <c r="Y1377" s="5"/>
      <c r="Z1377" s="3">
        <v>1</v>
      </c>
      <c r="AA1377" s="4"/>
      <c r="AB1377" s="4"/>
      <c r="AE1377" s="3"/>
      <c r="AF1377" s="3"/>
      <c r="AG1377" s="4"/>
      <c r="AH1377" s="4"/>
      <c r="AI1377" s="4"/>
      <c r="AJ1377" s="4"/>
      <c r="AK1377" s="3"/>
      <c r="AL1377" s="3"/>
      <c r="AM1377" s="3"/>
      <c r="AN1377" s="3"/>
      <c r="AO1377" s="4"/>
      <c r="AP1377" s="3"/>
      <c r="AQ1377" s="4"/>
      <c r="AR1377" s="3"/>
      <c r="AS1377" s="3"/>
      <c r="AT1377" s="4"/>
      <c r="AU1377" s="3"/>
      <c r="AV1377" s="4"/>
      <c r="AW1377" s="4"/>
      <c r="AX1377" s="4"/>
      <c r="AY1377" s="4"/>
      <c r="AZ1377" s="4"/>
      <c r="BA1377" s="4"/>
      <c r="BB1377" s="4"/>
      <c r="BC1377" s="4"/>
      <c r="BD1377" s="4"/>
      <c r="BE1377" s="4"/>
      <c r="BF1377" s="3"/>
      <c r="BG1377" s="3"/>
      <c r="BH1377" s="3"/>
      <c r="BI1377" s="4"/>
      <c r="BJ1377" s="3"/>
      <c r="BK1377" s="4"/>
      <c r="BL1377" s="3"/>
      <c r="BM1377" s="4"/>
      <c r="BN1377" s="4"/>
      <c r="BO1377" s="4"/>
      <c r="BP1377" s="4"/>
      <c r="BQ1377" s="4"/>
      <c r="BR1377" s="4"/>
      <c r="BS1377" s="4"/>
      <c r="BT1377" s="4"/>
      <c r="BU1377" s="4"/>
      <c r="BV1377" s="4"/>
      <c r="BW1377" s="4"/>
      <c r="BX1377" s="4"/>
      <c r="BY1377" s="4"/>
      <c r="BZ1377" s="4"/>
      <c r="CA1377" s="4"/>
      <c r="CB1377" s="4"/>
      <c r="CC1377" s="4"/>
      <c r="CD1377" s="4"/>
      <c r="CE1377" s="4"/>
      <c r="CF1377" s="4"/>
      <c r="CG1377" s="4"/>
      <c r="CH1377" s="4"/>
      <c r="CI1377" s="4"/>
      <c r="CJ1377" s="4"/>
      <c r="CK1377" s="4"/>
      <c r="CL1377" s="4"/>
      <c r="CM1377" s="4"/>
      <c r="CN1377" s="4"/>
      <c r="CO1377" s="4"/>
      <c r="CP1377" s="4"/>
      <c r="CQ1377" s="4"/>
      <c r="CR1377" s="4"/>
      <c r="CS1377" s="4"/>
      <c r="CT1377" s="4"/>
      <c r="CU1377" s="4"/>
      <c r="CV1377" s="4"/>
      <c r="CW1377" s="4"/>
      <c r="CX1377" s="4"/>
      <c r="CY1377" s="4"/>
      <c r="CZ1377" s="4"/>
      <c r="DA1377" s="4"/>
      <c r="DB1377" s="4"/>
      <c r="DC1377" s="3"/>
      <c r="DD1377" s="3"/>
      <c r="DE1377" s="8"/>
      <c r="DF1377" s="4"/>
      <c r="DG1377" s="4"/>
      <c r="DH1377" s="4"/>
      <c r="DI1377" s="4"/>
      <c r="DJ1377" s="8"/>
      <c r="DK1377" s="8"/>
      <c r="DL1377" s="8"/>
      <c r="DM1377" s="8"/>
      <c r="DN1377" s="4"/>
      <c r="DO1377" s="4"/>
      <c r="DP1377" s="4"/>
      <c r="DQ1377" s="4"/>
      <c r="DR1377" s="4"/>
      <c r="DS1377" s="4"/>
      <c r="DT1377" s="4"/>
      <c r="DU1377" s="4"/>
      <c r="DV1377" s="4"/>
      <c r="DW1377" s="4"/>
      <c r="DX1377" s="4"/>
      <c r="DY1377" s="4"/>
      <c r="DZ1377" s="4"/>
      <c r="EA1377" s="4"/>
      <c r="EB1377" s="4"/>
      <c r="EC1377" s="4"/>
      <c r="ED1377" s="4"/>
      <c r="EE1377" s="4"/>
      <c r="EF1377" s="4"/>
      <c r="EG1377" s="4"/>
      <c r="EH1377" s="8"/>
      <c r="EI1377" s="8"/>
      <c r="EJ1377" s="8"/>
      <c r="EK1377" s="8"/>
      <c r="EL1377" s="8"/>
      <c r="EM1377" s="8"/>
      <c r="EN1377" s="4"/>
      <c r="EO1377" s="4"/>
      <c r="EP1377" s="4"/>
    </row>
    <row r="1378" spans="1:150" hidden="1">
      <c r="A1378" s="11" t="s">
        <v>9940</v>
      </c>
      <c r="B1378" s="3" t="s">
        <v>8373</v>
      </c>
      <c r="C1378" s="3">
        <v>2000</v>
      </c>
      <c r="D1378" s="3" t="s">
        <v>8812</v>
      </c>
      <c r="E1378" s="3" t="s">
        <v>8813</v>
      </c>
      <c r="F1378" s="3">
        <v>1</v>
      </c>
      <c r="G1378" s="3"/>
      <c r="H1378" s="3" t="s">
        <v>8817</v>
      </c>
      <c r="I1378" s="3"/>
      <c r="J1378" s="3"/>
      <c r="K1378" s="3" t="s">
        <v>5361</v>
      </c>
      <c r="L1378" s="4"/>
      <c r="M1378" s="3" t="s">
        <v>8814</v>
      </c>
      <c r="T1378" s="3" t="s">
        <v>8815</v>
      </c>
      <c r="V1378" s="3"/>
      <c r="W1378" s="4"/>
      <c r="X1378" s="5" t="s">
        <v>8816</v>
      </c>
      <c r="Y1378" s="5"/>
      <c r="Z1378" s="3">
        <v>1</v>
      </c>
      <c r="AA1378" s="4"/>
      <c r="AB1378" s="4"/>
      <c r="AE1378" s="3"/>
      <c r="AF1378" s="3"/>
      <c r="AG1378" s="4"/>
      <c r="AH1378" s="4"/>
      <c r="AI1378" s="4"/>
      <c r="AJ1378" s="4"/>
      <c r="AK1378" s="3"/>
      <c r="AL1378" s="3"/>
      <c r="AM1378" s="3"/>
      <c r="AN1378" s="3"/>
      <c r="AO1378" s="4"/>
      <c r="AP1378" s="3"/>
      <c r="AQ1378" s="4"/>
      <c r="AR1378" s="3"/>
      <c r="AS1378" s="3"/>
      <c r="AT1378" s="4"/>
      <c r="AU1378" s="3"/>
      <c r="AV1378" s="4"/>
      <c r="AW1378" s="4"/>
      <c r="AX1378" s="4"/>
      <c r="AY1378" s="4"/>
      <c r="AZ1378" s="4"/>
      <c r="BA1378" s="4"/>
      <c r="BB1378" s="4"/>
      <c r="BC1378" s="4"/>
      <c r="BD1378" s="4"/>
      <c r="BE1378" s="4"/>
      <c r="BF1378" s="3"/>
      <c r="BG1378" s="3"/>
      <c r="BH1378" s="3"/>
      <c r="BI1378" s="4"/>
      <c r="BJ1378" s="3"/>
      <c r="BK1378" s="4"/>
      <c r="BL1378" s="4"/>
      <c r="BM1378" s="3"/>
      <c r="BN1378" s="4"/>
      <c r="BO1378" s="4"/>
      <c r="BP1378" s="4"/>
      <c r="BQ1378" s="4"/>
      <c r="BR1378" s="4"/>
      <c r="BS1378" s="4"/>
      <c r="BT1378" s="4"/>
      <c r="BU1378" s="4"/>
      <c r="BV1378" s="4"/>
      <c r="BW1378" s="4"/>
      <c r="BX1378" s="4"/>
      <c r="BY1378" s="4"/>
      <c r="BZ1378" s="4"/>
      <c r="CA1378" s="4"/>
      <c r="CB1378" s="4"/>
      <c r="CC1378" s="4"/>
      <c r="CD1378" s="4"/>
      <c r="CE1378" s="4"/>
      <c r="CF1378" s="4"/>
      <c r="CG1378" s="4"/>
      <c r="CH1378" s="4"/>
      <c r="CI1378" s="4"/>
      <c r="CJ1378" s="4"/>
      <c r="CK1378" s="4"/>
      <c r="CL1378" s="4"/>
      <c r="CM1378" s="4"/>
      <c r="CN1378" s="4"/>
      <c r="CO1378" s="4"/>
      <c r="CP1378" s="4"/>
      <c r="CQ1378" s="4"/>
      <c r="CR1378" s="4"/>
      <c r="CS1378" s="4"/>
      <c r="CT1378" s="4"/>
      <c r="CU1378" s="4"/>
      <c r="CV1378" s="4"/>
      <c r="CW1378" s="4"/>
      <c r="CX1378" s="4"/>
      <c r="CY1378" s="4"/>
      <c r="CZ1378" s="4"/>
      <c r="DA1378" s="4"/>
      <c r="DB1378" s="4"/>
      <c r="DC1378" s="4"/>
      <c r="DD1378" s="4"/>
      <c r="DE1378" s="4"/>
      <c r="DF1378" s="4"/>
      <c r="DG1378" s="3"/>
      <c r="DH1378" s="3"/>
      <c r="DI1378" s="8"/>
      <c r="DJ1378" s="4"/>
      <c r="DK1378" s="4"/>
      <c r="DL1378" s="4"/>
      <c r="DM1378" s="4"/>
      <c r="DN1378" s="8"/>
      <c r="DO1378" s="8"/>
      <c r="DP1378" s="8"/>
      <c r="DQ1378" s="8"/>
      <c r="DR1378" s="4"/>
      <c r="DS1378" s="4"/>
      <c r="DT1378" s="4"/>
      <c r="DU1378" s="4"/>
      <c r="DV1378" s="4"/>
      <c r="DW1378" s="4"/>
      <c r="DX1378" s="4"/>
      <c r="DY1378" s="4"/>
      <c r="DZ1378" s="4"/>
      <c r="EA1378" s="4"/>
      <c r="EB1378" s="4"/>
      <c r="EC1378" s="4"/>
      <c r="ED1378" s="4"/>
      <c r="EE1378" s="4"/>
      <c r="EF1378" s="4"/>
      <c r="EG1378" s="4"/>
      <c r="EH1378" s="4"/>
      <c r="EI1378" s="4"/>
      <c r="EJ1378" s="4"/>
      <c r="EK1378" s="4"/>
      <c r="EL1378" s="8"/>
      <c r="EM1378" s="8"/>
      <c r="EN1378" s="8"/>
      <c r="EO1378" s="8"/>
      <c r="EP1378" s="8"/>
      <c r="EQ1378" s="8"/>
      <c r="ER1378" s="4"/>
      <c r="ES1378" s="4"/>
      <c r="ET1378" s="4"/>
    </row>
    <row r="1379" spans="1:150" hidden="1">
      <c r="A1379" s="11" t="s">
        <v>9940</v>
      </c>
      <c r="B1379" s="3" t="s">
        <v>8373</v>
      </c>
      <c r="C1379" s="3">
        <v>2009</v>
      </c>
      <c r="D1379" s="3" t="s">
        <v>5867</v>
      </c>
      <c r="E1379" s="3" t="s">
        <v>9519</v>
      </c>
      <c r="F1379" s="3">
        <v>1</v>
      </c>
      <c r="G1379" s="3"/>
      <c r="H1379" s="3" t="s">
        <v>9520</v>
      </c>
      <c r="I1379" s="3"/>
      <c r="J1379" s="3"/>
      <c r="K1379" s="3" t="s">
        <v>93</v>
      </c>
      <c r="L1379" s="4"/>
      <c r="M1379" s="3" t="s">
        <v>8511</v>
      </c>
      <c r="T1379" s="3" t="s">
        <v>5869</v>
      </c>
      <c r="V1379" s="3"/>
      <c r="W1379" s="3"/>
      <c r="X1379" s="5" t="s">
        <v>5872</v>
      </c>
      <c r="Y1379" s="5"/>
      <c r="Z1379" s="3">
        <v>0</v>
      </c>
      <c r="AA1379" s="3" t="s">
        <v>9178</v>
      </c>
      <c r="AB1379" s="4"/>
      <c r="AE1379" s="3"/>
      <c r="AF1379" s="4"/>
      <c r="AG1379" s="4"/>
      <c r="AH1379" s="4"/>
      <c r="AI1379" s="4"/>
      <c r="AJ1379" s="4"/>
      <c r="AK1379" s="3"/>
      <c r="AL1379" s="3"/>
      <c r="AM1379" s="3"/>
      <c r="AN1379" s="3"/>
      <c r="AO1379" s="4"/>
      <c r="AP1379" s="3"/>
      <c r="AQ1379" s="4"/>
      <c r="AR1379" s="3"/>
      <c r="AS1379" s="3"/>
      <c r="AT1379" s="4"/>
      <c r="AU1379" s="3"/>
      <c r="AV1379" s="4"/>
      <c r="AW1379" s="4"/>
      <c r="AX1379" s="4"/>
      <c r="AY1379" s="4"/>
      <c r="AZ1379" s="4"/>
      <c r="BA1379" s="4"/>
      <c r="BB1379" s="4"/>
      <c r="BC1379" s="4"/>
      <c r="BD1379" s="4"/>
      <c r="BE1379" s="4"/>
      <c r="BF1379" s="3"/>
      <c r="BG1379" s="3"/>
      <c r="BH1379" s="3"/>
      <c r="BI1379" s="4"/>
      <c r="BJ1379" s="3"/>
      <c r="BK1379" s="4"/>
      <c r="BL1379" s="4"/>
      <c r="BM1379" s="3"/>
      <c r="BN1379" s="4"/>
      <c r="BO1379" s="4"/>
      <c r="BP1379" s="4"/>
      <c r="BQ1379" s="4"/>
      <c r="BR1379" s="4"/>
      <c r="BS1379" s="4"/>
      <c r="BT1379" s="4"/>
      <c r="BU1379" s="4"/>
      <c r="BV1379" s="4"/>
      <c r="BW1379" s="4"/>
      <c r="BX1379" s="4"/>
      <c r="BY1379" s="4"/>
      <c r="BZ1379" s="4"/>
      <c r="CA1379" s="4"/>
      <c r="CB1379" s="4"/>
      <c r="CC1379" s="4"/>
      <c r="CD1379" s="3"/>
      <c r="CE1379" s="3"/>
      <c r="CF1379" s="4"/>
      <c r="CG1379" s="4"/>
      <c r="CH1379" s="4"/>
      <c r="CI1379" s="4"/>
      <c r="CJ1379" s="4"/>
      <c r="CK1379" s="4"/>
      <c r="CL1379" s="4"/>
      <c r="CM1379" s="4"/>
      <c r="CN1379" s="4"/>
      <c r="CO1379" s="4"/>
      <c r="CP1379" s="4"/>
      <c r="CQ1379" s="4"/>
      <c r="CR1379" s="4"/>
      <c r="CS1379" s="4"/>
      <c r="CT1379" s="4"/>
      <c r="CU1379" s="4"/>
      <c r="CV1379" s="4"/>
      <c r="CW1379" s="4"/>
      <c r="CX1379" s="4"/>
      <c r="CY1379" s="4"/>
      <c r="CZ1379" s="4"/>
      <c r="DA1379" s="4"/>
      <c r="DB1379" s="4"/>
      <c r="DC1379" s="4"/>
      <c r="DD1379" s="4"/>
      <c r="DE1379" s="4"/>
      <c r="DF1379" s="4"/>
      <c r="DG1379" s="4"/>
      <c r="DH1379" s="4"/>
      <c r="DI1379" s="4"/>
      <c r="DJ1379" s="4"/>
      <c r="DK1379" s="4"/>
      <c r="DL1379" s="4"/>
      <c r="DM1379" s="4"/>
      <c r="DN1379" s="4"/>
      <c r="DO1379" s="4"/>
      <c r="DP1379" s="4"/>
      <c r="DQ1379" s="4"/>
    </row>
    <row r="1380" spans="1:150" hidden="1">
      <c r="A1380" s="11" t="s">
        <v>9940</v>
      </c>
      <c r="B1380" s="3" t="s">
        <v>8373</v>
      </c>
      <c r="C1380" s="3">
        <v>1998</v>
      </c>
      <c r="D1380" s="3" t="s">
        <v>7491</v>
      </c>
      <c r="E1380" s="3" t="s">
        <v>8818</v>
      </c>
      <c r="F1380" s="3">
        <v>1</v>
      </c>
      <c r="G1380" s="3"/>
      <c r="H1380" s="3" t="s">
        <v>7496</v>
      </c>
      <c r="I1380" s="3"/>
      <c r="J1380" s="3"/>
      <c r="K1380" s="3" t="s">
        <v>7492</v>
      </c>
      <c r="L1380" s="4"/>
      <c r="M1380" s="3" t="s">
        <v>8819</v>
      </c>
      <c r="T1380" s="3" t="s">
        <v>7494</v>
      </c>
      <c r="V1380" s="3"/>
      <c r="W1380" s="4"/>
      <c r="X1380" s="5" t="s">
        <v>7497</v>
      </c>
      <c r="Y1380" s="5"/>
      <c r="Z1380" s="3">
        <v>1</v>
      </c>
      <c r="AA1380" s="4"/>
      <c r="AB1380" s="4"/>
      <c r="AE1380" s="3"/>
      <c r="AF1380" s="3"/>
      <c r="AG1380" s="4"/>
      <c r="AH1380" s="4"/>
      <c r="AI1380" s="4"/>
      <c r="AJ1380" s="4"/>
      <c r="AK1380" s="3"/>
      <c r="AL1380" s="3"/>
      <c r="AM1380" s="3"/>
      <c r="AN1380" s="3"/>
      <c r="AO1380" s="4"/>
      <c r="AP1380" s="12"/>
      <c r="AQ1380" s="4"/>
      <c r="AR1380" s="3"/>
      <c r="AS1380" s="3"/>
      <c r="AT1380" s="4"/>
      <c r="AU1380" s="3"/>
      <c r="AV1380" s="4"/>
      <c r="AW1380" s="4"/>
      <c r="AX1380" s="4"/>
      <c r="AY1380" s="4"/>
      <c r="AZ1380" s="4"/>
      <c r="BA1380" s="4"/>
      <c r="BB1380" s="4"/>
      <c r="BC1380" s="4"/>
      <c r="BD1380" s="4"/>
      <c r="BE1380" s="4"/>
      <c r="BF1380" s="3"/>
      <c r="BG1380" s="3"/>
      <c r="BH1380" s="3"/>
      <c r="BI1380" s="4"/>
      <c r="BJ1380" s="3"/>
      <c r="BK1380" s="4"/>
      <c r="BL1380" s="4"/>
      <c r="BM1380" s="3"/>
      <c r="BN1380" s="4"/>
      <c r="BO1380" s="4"/>
      <c r="BP1380" s="4"/>
      <c r="BQ1380" s="4"/>
      <c r="BR1380" s="4"/>
      <c r="BS1380" s="4"/>
      <c r="BT1380" s="4"/>
      <c r="BU1380" s="4"/>
      <c r="BV1380" s="4"/>
      <c r="BW1380" s="4"/>
      <c r="BX1380" s="4"/>
      <c r="BY1380" s="4"/>
      <c r="BZ1380" s="4"/>
      <c r="CA1380" s="4"/>
      <c r="CB1380" s="4"/>
      <c r="CC1380" s="4"/>
      <c r="CD1380" s="4"/>
      <c r="CE1380" s="4"/>
      <c r="CF1380" s="4"/>
      <c r="CG1380" s="4"/>
      <c r="CH1380" s="4"/>
      <c r="CI1380" s="4"/>
      <c r="CJ1380" s="4"/>
      <c r="CK1380" s="4"/>
      <c r="CL1380" s="4"/>
      <c r="CM1380" s="4"/>
      <c r="CN1380" s="4"/>
      <c r="CO1380" s="4"/>
      <c r="CP1380" s="4"/>
      <c r="CQ1380" s="4"/>
      <c r="CR1380" s="4"/>
      <c r="CS1380" s="4"/>
      <c r="CT1380" s="4"/>
      <c r="CU1380" s="4"/>
      <c r="CV1380" s="4"/>
      <c r="CW1380" s="4"/>
      <c r="CX1380" s="4"/>
      <c r="CY1380" s="4"/>
      <c r="CZ1380" s="4"/>
      <c r="DA1380" s="4"/>
      <c r="DB1380" s="4"/>
      <c r="DC1380" s="3"/>
      <c r="DD1380" s="3"/>
      <c r="DE1380" s="8"/>
      <c r="DF1380" s="4"/>
      <c r="DG1380" s="4"/>
      <c r="DH1380" s="4"/>
      <c r="DI1380" s="4"/>
      <c r="DJ1380" s="8"/>
      <c r="DK1380" s="8"/>
      <c r="DL1380" s="8"/>
      <c r="DM1380" s="8"/>
      <c r="DN1380" s="4"/>
      <c r="DO1380" s="4"/>
      <c r="DP1380" s="4"/>
      <c r="DQ1380" s="4"/>
      <c r="DR1380" s="4"/>
      <c r="DS1380" s="4"/>
      <c r="DT1380" s="4"/>
      <c r="DU1380" s="4"/>
      <c r="DV1380" s="4"/>
      <c r="DW1380" s="4"/>
      <c r="DX1380" s="4"/>
      <c r="DY1380" s="4"/>
      <c r="DZ1380" s="4"/>
      <c r="EA1380" s="4"/>
      <c r="EB1380" s="4"/>
      <c r="EC1380" s="4"/>
      <c r="ED1380" s="4"/>
      <c r="EE1380" s="4"/>
      <c r="EF1380" s="4"/>
      <c r="EG1380" s="4"/>
      <c r="EH1380" s="8"/>
      <c r="EI1380" s="8"/>
      <c r="EJ1380" s="8"/>
      <c r="EK1380" s="8"/>
      <c r="EL1380" s="8"/>
      <c r="EM1380" s="8"/>
      <c r="EN1380" s="4"/>
      <c r="EO1380" s="4"/>
      <c r="EP1380" s="4"/>
    </row>
    <row r="1381" spans="1:150" hidden="1">
      <c r="A1381" s="11" t="s">
        <v>9940</v>
      </c>
      <c r="B1381" s="3" t="s">
        <v>8373</v>
      </c>
      <c r="C1381" s="3">
        <v>2006</v>
      </c>
      <c r="D1381" s="3" t="s">
        <v>8820</v>
      </c>
      <c r="E1381" s="3" t="s">
        <v>8821</v>
      </c>
      <c r="F1381" s="3">
        <v>1</v>
      </c>
      <c r="G1381" s="3"/>
      <c r="H1381" s="3" t="s">
        <v>8824</v>
      </c>
      <c r="I1381" s="3"/>
      <c r="J1381" s="3"/>
      <c r="K1381" s="3" t="s">
        <v>132</v>
      </c>
      <c r="L1381" s="4"/>
      <c r="M1381" s="3" t="s">
        <v>8382</v>
      </c>
      <c r="T1381" s="3" t="s">
        <v>8822</v>
      </c>
      <c r="V1381" s="3"/>
      <c r="W1381" s="4"/>
      <c r="X1381" s="5" t="s">
        <v>8823</v>
      </c>
      <c r="Y1381" s="5"/>
      <c r="Z1381" s="3">
        <v>1</v>
      </c>
      <c r="AA1381" s="4"/>
      <c r="AB1381" s="4"/>
      <c r="AE1381" s="3"/>
      <c r="AF1381" s="3"/>
      <c r="AG1381" s="4"/>
      <c r="AH1381" s="4"/>
      <c r="AI1381" s="4"/>
      <c r="AJ1381" s="4"/>
      <c r="AK1381" s="3"/>
      <c r="AL1381" s="3"/>
      <c r="AM1381" s="3"/>
      <c r="AN1381" s="3"/>
      <c r="AO1381" s="4"/>
      <c r="AP1381" s="3"/>
      <c r="AQ1381" s="4"/>
      <c r="AR1381" s="3"/>
      <c r="AS1381" s="3"/>
      <c r="AT1381" s="4"/>
      <c r="AU1381" s="3"/>
      <c r="AV1381" s="4"/>
      <c r="AW1381" s="4"/>
      <c r="AX1381" s="4"/>
      <c r="AY1381" s="4"/>
      <c r="AZ1381" s="4"/>
      <c r="BA1381" s="4"/>
      <c r="BB1381" s="4"/>
      <c r="BC1381" s="4"/>
      <c r="BD1381" s="4"/>
      <c r="BE1381" s="4"/>
      <c r="BF1381" s="3"/>
      <c r="BG1381" s="3"/>
      <c r="BH1381" s="3"/>
      <c r="BI1381" s="4"/>
      <c r="BJ1381" s="3"/>
      <c r="BK1381" s="4"/>
      <c r="BL1381" s="4"/>
      <c r="BM1381" s="3"/>
      <c r="BN1381" s="4"/>
      <c r="BO1381" s="4"/>
      <c r="BP1381" s="4"/>
      <c r="BQ1381" s="4"/>
      <c r="BR1381" s="4"/>
      <c r="BS1381" s="4"/>
      <c r="BT1381" s="4"/>
      <c r="BU1381" s="4"/>
      <c r="BV1381" s="4"/>
      <c r="BW1381" s="4"/>
      <c r="BX1381" s="4"/>
      <c r="BY1381" s="4"/>
      <c r="BZ1381" s="4"/>
      <c r="CA1381" s="4"/>
      <c r="CB1381" s="4"/>
      <c r="CC1381" s="4"/>
      <c r="CD1381" s="4"/>
      <c r="CE1381" s="4"/>
      <c r="CF1381" s="4"/>
      <c r="CG1381" s="4"/>
      <c r="CH1381" s="4"/>
      <c r="CI1381" s="4"/>
      <c r="CJ1381" s="4"/>
      <c r="CK1381" s="4"/>
      <c r="CL1381" s="4"/>
      <c r="CM1381" s="4"/>
      <c r="CN1381" s="4"/>
      <c r="CO1381" s="4"/>
      <c r="CP1381" s="4"/>
      <c r="CQ1381" s="4"/>
      <c r="CR1381" s="4"/>
      <c r="CS1381" s="4"/>
      <c r="CT1381" s="4"/>
      <c r="CU1381" s="4"/>
      <c r="CV1381" s="4"/>
      <c r="CW1381" s="4"/>
      <c r="CX1381" s="4"/>
      <c r="CY1381" s="4"/>
      <c r="CZ1381" s="3"/>
      <c r="DA1381" s="3"/>
      <c r="DB1381" s="8"/>
      <c r="DC1381" s="4"/>
      <c r="DD1381" s="4"/>
      <c r="DE1381" s="4"/>
      <c r="DF1381" s="4"/>
      <c r="DG1381" s="8"/>
      <c r="DH1381" s="8"/>
      <c r="DI1381" s="8"/>
      <c r="DJ1381" s="8"/>
      <c r="DK1381" s="4"/>
      <c r="DL1381" s="4"/>
      <c r="DM1381" s="4"/>
      <c r="DN1381" s="4"/>
      <c r="DO1381" s="4"/>
      <c r="DP1381" s="4"/>
      <c r="DQ1381" s="4"/>
      <c r="DR1381" s="4"/>
      <c r="DS1381" s="4"/>
      <c r="DT1381" s="4"/>
      <c r="DU1381" s="4"/>
      <c r="DV1381" s="4"/>
      <c r="DW1381" s="4"/>
      <c r="DX1381" s="4"/>
      <c r="DY1381" s="4"/>
      <c r="DZ1381" s="4"/>
      <c r="EA1381" s="4"/>
      <c r="EB1381" s="4"/>
      <c r="EC1381" s="4"/>
      <c r="ED1381" s="4"/>
      <c r="EE1381" s="8"/>
      <c r="EF1381" s="8"/>
      <c r="EG1381" s="8"/>
      <c r="EH1381" s="8"/>
      <c r="EI1381" s="8"/>
      <c r="EJ1381" s="8"/>
      <c r="EK1381" s="4"/>
      <c r="EL1381" s="4"/>
      <c r="EM1381" s="4"/>
    </row>
    <row r="1382" spans="1:150" hidden="1">
      <c r="A1382" s="11" t="s">
        <v>9940</v>
      </c>
      <c r="B1382" s="3" t="s">
        <v>8373</v>
      </c>
      <c r="C1382" s="3">
        <v>2017</v>
      </c>
      <c r="D1382" s="3" t="s">
        <v>6246</v>
      </c>
      <c r="E1382" s="3" t="s">
        <v>9521</v>
      </c>
      <c r="F1382" s="3">
        <v>1</v>
      </c>
      <c r="G1382" s="3"/>
      <c r="H1382" s="3" t="s">
        <v>9523</v>
      </c>
      <c r="I1382" s="3"/>
      <c r="J1382" s="3"/>
      <c r="K1382" s="3" t="s">
        <v>1556</v>
      </c>
      <c r="L1382" s="4"/>
      <c r="M1382" s="3" t="s">
        <v>9522</v>
      </c>
      <c r="T1382" s="3" t="s">
        <v>6248</v>
      </c>
      <c r="V1382" s="3"/>
      <c r="W1382" s="3"/>
      <c r="X1382" s="5" t="s">
        <v>6251</v>
      </c>
      <c r="Y1382" s="5"/>
      <c r="Z1382" s="3">
        <v>0</v>
      </c>
      <c r="AA1382" s="3" t="s">
        <v>9249</v>
      </c>
      <c r="AB1382" s="4"/>
      <c r="AE1382" s="3"/>
      <c r="AF1382" s="4"/>
      <c r="AG1382" s="4"/>
      <c r="AH1382" s="4"/>
      <c r="AI1382" s="4"/>
      <c r="AJ1382" s="4"/>
      <c r="AK1382" s="3"/>
      <c r="AL1382" s="3"/>
      <c r="AM1382" s="3"/>
      <c r="AN1382" s="3"/>
      <c r="AO1382" s="4"/>
      <c r="AP1382" s="3"/>
      <c r="AQ1382" s="4"/>
      <c r="AR1382" s="3"/>
      <c r="AS1382" s="3"/>
      <c r="AT1382" s="4"/>
      <c r="AU1382" s="3"/>
      <c r="AV1382" s="4"/>
      <c r="AW1382" s="4"/>
      <c r="AX1382" s="4"/>
      <c r="AY1382" s="4"/>
      <c r="AZ1382" s="4"/>
      <c r="BA1382" s="4"/>
      <c r="BB1382" s="4"/>
      <c r="BC1382" s="4"/>
      <c r="BD1382" s="4"/>
      <c r="BE1382" s="4"/>
      <c r="BF1382" s="3"/>
      <c r="BG1382" s="3"/>
      <c r="BH1382" s="3"/>
      <c r="BI1382" s="4"/>
      <c r="BJ1382" s="3"/>
      <c r="BK1382" s="4"/>
      <c r="BL1382" s="4"/>
      <c r="BM1382" s="3"/>
      <c r="BN1382" s="4"/>
      <c r="BO1382" s="4"/>
      <c r="BP1382" s="4"/>
      <c r="BQ1382" s="4"/>
      <c r="BR1382" s="4"/>
      <c r="BS1382" s="4"/>
      <c r="BT1382" s="4"/>
      <c r="BU1382" s="4"/>
      <c r="BV1382" s="4"/>
      <c r="BW1382" s="4"/>
      <c r="BX1382" s="4"/>
      <c r="BY1382" s="4"/>
      <c r="BZ1382" s="4"/>
      <c r="CA1382" s="4"/>
      <c r="CB1382" s="4"/>
      <c r="CC1382" s="4"/>
      <c r="CD1382" s="4"/>
      <c r="CE1382" s="4"/>
      <c r="CF1382" s="4"/>
      <c r="CG1382" s="4"/>
      <c r="CH1382" s="4"/>
      <c r="CI1382" s="4"/>
      <c r="CJ1382" s="4"/>
      <c r="CK1382" s="4"/>
      <c r="CL1382" s="4"/>
      <c r="CM1382" s="4"/>
      <c r="CN1382" s="4"/>
      <c r="CO1382" s="4"/>
      <c r="CP1382" s="4"/>
      <c r="CQ1382" s="4"/>
      <c r="CR1382" s="4"/>
      <c r="CS1382" s="4"/>
      <c r="CT1382" s="4"/>
      <c r="CU1382" s="4"/>
      <c r="CV1382" s="4"/>
      <c r="CW1382" s="4"/>
      <c r="CX1382" s="4"/>
      <c r="CY1382" s="4"/>
      <c r="CZ1382" s="4"/>
      <c r="DA1382" s="4"/>
      <c r="DB1382" s="4"/>
      <c r="DC1382" s="4"/>
      <c r="DD1382" s="4"/>
      <c r="DE1382" s="4"/>
      <c r="DF1382" s="3"/>
      <c r="DG1382" s="3"/>
      <c r="DH1382" s="4"/>
      <c r="DI1382" s="4"/>
      <c r="DJ1382" s="4"/>
      <c r="DK1382" s="4"/>
      <c r="DL1382" s="4"/>
      <c r="DM1382" s="4"/>
      <c r="DN1382" s="4"/>
      <c r="DO1382" s="4"/>
      <c r="DP1382" s="4"/>
      <c r="DQ1382" s="4"/>
      <c r="DR1382" s="4"/>
      <c r="DS1382" s="4"/>
      <c r="DT1382" s="4"/>
      <c r="DU1382" s="4"/>
      <c r="DV1382" s="4"/>
      <c r="DW1382" s="4"/>
      <c r="DX1382" s="4"/>
      <c r="DY1382" s="4"/>
      <c r="DZ1382" s="4"/>
      <c r="EA1382" s="4"/>
      <c r="EB1382" s="4"/>
      <c r="EC1382" s="4"/>
      <c r="ED1382" s="4"/>
      <c r="EE1382" s="4"/>
      <c r="EF1382" s="4"/>
      <c r="EG1382" s="4"/>
      <c r="EH1382" s="4"/>
      <c r="EI1382" s="4"/>
      <c r="EJ1382" s="4"/>
      <c r="EK1382" s="4"/>
      <c r="EL1382" s="4"/>
      <c r="EM1382" s="4"/>
      <c r="EN1382" s="4"/>
      <c r="EO1382" s="4"/>
      <c r="EP1382" s="4"/>
      <c r="EQ1382" s="4"/>
      <c r="ER1382" s="4"/>
      <c r="ES1382" s="4"/>
    </row>
    <row r="1383" spans="1:150" hidden="1">
      <c r="A1383" s="11" t="s">
        <v>9940</v>
      </c>
      <c r="B1383" s="3" t="s">
        <v>8373</v>
      </c>
      <c r="C1383" s="3">
        <v>2018</v>
      </c>
      <c r="D1383" s="3" t="s">
        <v>8264</v>
      </c>
      <c r="E1383" s="3" t="s">
        <v>9524</v>
      </c>
      <c r="F1383" s="3">
        <v>1</v>
      </c>
      <c r="G1383" s="3"/>
      <c r="H1383" s="3" t="s">
        <v>9526</v>
      </c>
      <c r="I1383" s="3"/>
      <c r="J1383" s="3"/>
      <c r="K1383" s="3" t="s">
        <v>8265</v>
      </c>
      <c r="L1383" s="4"/>
      <c r="M1383" s="3" t="s">
        <v>9525</v>
      </c>
      <c r="T1383" s="3" t="s">
        <v>8267</v>
      </c>
      <c r="V1383" s="3"/>
      <c r="W1383" s="3"/>
      <c r="X1383" s="5" t="s">
        <v>8270</v>
      </c>
      <c r="Y1383" s="5"/>
      <c r="Z1383" s="3">
        <v>0</v>
      </c>
      <c r="AA1383" s="3" t="s">
        <v>9237</v>
      </c>
      <c r="AB1383" s="4"/>
      <c r="AE1383" s="3"/>
      <c r="AF1383" s="4"/>
      <c r="AG1383" s="4"/>
      <c r="AH1383" s="4"/>
      <c r="AI1383" s="4"/>
      <c r="AJ1383" s="4"/>
      <c r="AK1383" s="3"/>
      <c r="AL1383" s="3"/>
      <c r="AM1383" s="3"/>
      <c r="AN1383" s="3"/>
      <c r="AO1383" s="4"/>
      <c r="AP1383" s="3"/>
      <c r="AQ1383" s="4"/>
      <c r="AR1383" s="3"/>
      <c r="AS1383" s="3"/>
      <c r="AT1383" s="4"/>
      <c r="AU1383" s="3"/>
      <c r="AV1383" s="4"/>
      <c r="AW1383" s="4"/>
      <c r="AX1383" s="4"/>
      <c r="AY1383" s="4"/>
      <c r="AZ1383" s="4"/>
      <c r="BA1383" s="4"/>
      <c r="BB1383" s="4"/>
      <c r="BC1383" s="4"/>
      <c r="BD1383" s="4"/>
      <c r="BE1383" s="4"/>
      <c r="BF1383" s="3"/>
      <c r="BG1383" s="3"/>
      <c r="BH1383" s="3"/>
      <c r="BI1383" s="4"/>
      <c r="BJ1383" s="3"/>
      <c r="BK1383" s="4"/>
      <c r="BL1383" s="4"/>
      <c r="BM1383" s="3"/>
      <c r="BN1383" s="4"/>
      <c r="BO1383" s="4"/>
      <c r="BP1383" s="4"/>
      <c r="BQ1383" s="4"/>
      <c r="BR1383" s="4"/>
      <c r="BS1383" s="4"/>
      <c r="BT1383" s="4"/>
      <c r="BU1383" s="4"/>
      <c r="BV1383" s="4"/>
      <c r="BW1383" s="4"/>
      <c r="BX1383" s="4"/>
      <c r="BY1383" s="4"/>
      <c r="BZ1383" s="4"/>
      <c r="CA1383" s="4"/>
      <c r="CB1383" s="4"/>
      <c r="CC1383" s="4"/>
      <c r="CD1383" s="4"/>
      <c r="CE1383" s="4"/>
      <c r="CF1383" s="4"/>
      <c r="CG1383" s="4"/>
      <c r="CH1383" s="4"/>
      <c r="CI1383" s="4"/>
      <c r="CJ1383" s="4"/>
      <c r="CK1383" s="4"/>
      <c r="CL1383" s="4"/>
      <c r="CM1383" s="3"/>
      <c r="CN1383" s="3"/>
      <c r="CO1383" s="4"/>
      <c r="CP1383" s="4"/>
      <c r="CQ1383" s="4"/>
      <c r="CR1383" s="4"/>
      <c r="CS1383" s="4"/>
      <c r="CT1383" s="4"/>
      <c r="CU1383" s="4"/>
      <c r="CV1383" s="4"/>
      <c r="CW1383" s="4"/>
      <c r="CX1383" s="4"/>
      <c r="CY1383" s="4"/>
      <c r="CZ1383" s="4"/>
      <c r="DA1383" s="4"/>
      <c r="DB1383" s="4"/>
      <c r="DC1383" s="4"/>
      <c r="DD1383" s="4"/>
      <c r="DE1383" s="4"/>
      <c r="DF1383" s="4"/>
      <c r="DG1383" s="4"/>
      <c r="DH1383" s="4"/>
      <c r="DI1383" s="4"/>
      <c r="DJ1383" s="4"/>
      <c r="DK1383" s="4"/>
      <c r="DL1383" s="4"/>
      <c r="DM1383" s="4"/>
      <c r="DN1383" s="4"/>
      <c r="DO1383" s="4"/>
      <c r="DP1383" s="4"/>
      <c r="DQ1383" s="4"/>
      <c r="DR1383" s="4"/>
      <c r="DS1383" s="4"/>
      <c r="DT1383" s="4"/>
      <c r="DU1383" s="4"/>
      <c r="DV1383" s="4"/>
      <c r="DW1383" s="4"/>
      <c r="DX1383" s="4"/>
      <c r="DY1383" s="4"/>
      <c r="DZ1383" s="4"/>
    </row>
    <row r="1384" spans="1:150" hidden="1">
      <c r="A1384" s="11" t="s">
        <v>9940</v>
      </c>
      <c r="B1384" s="3" t="s">
        <v>8373</v>
      </c>
      <c r="C1384" s="3">
        <v>1995</v>
      </c>
      <c r="D1384" s="3" t="s">
        <v>9527</v>
      </c>
      <c r="E1384" s="3" t="s">
        <v>9528</v>
      </c>
      <c r="F1384" s="3">
        <v>1</v>
      </c>
      <c r="G1384" s="3"/>
      <c r="H1384" s="3" t="s">
        <v>9532</v>
      </c>
      <c r="I1384" s="3"/>
      <c r="J1384" s="3"/>
      <c r="K1384" s="3" t="s">
        <v>9529</v>
      </c>
      <c r="L1384" s="4"/>
      <c r="M1384" s="3" t="s">
        <v>9530</v>
      </c>
      <c r="T1384" s="4"/>
      <c r="V1384" s="3"/>
      <c r="W1384" s="3"/>
      <c r="X1384" s="5" t="s">
        <v>9531</v>
      </c>
      <c r="Y1384" s="5"/>
      <c r="Z1384" s="3">
        <v>0</v>
      </c>
      <c r="AA1384" s="3" t="s">
        <v>9249</v>
      </c>
      <c r="AB1384" s="4"/>
      <c r="AE1384" s="3"/>
      <c r="AF1384" s="4"/>
      <c r="AG1384" s="4"/>
      <c r="AH1384" s="4"/>
      <c r="AI1384" s="4"/>
      <c r="AJ1384" s="4"/>
      <c r="AK1384" s="3"/>
      <c r="AL1384" s="3"/>
      <c r="AM1384" s="3"/>
      <c r="AN1384" s="3"/>
      <c r="AO1384" s="4"/>
      <c r="AP1384" s="3"/>
      <c r="AQ1384" s="4"/>
      <c r="AR1384" s="3"/>
      <c r="AS1384" s="3"/>
      <c r="AT1384" s="4"/>
      <c r="AU1384" s="3"/>
      <c r="AV1384" s="4"/>
      <c r="AW1384" s="4"/>
      <c r="AX1384" s="4"/>
      <c r="AY1384" s="4"/>
      <c r="AZ1384" s="4"/>
      <c r="BA1384" s="4"/>
      <c r="BB1384" s="4"/>
      <c r="BC1384" s="4"/>
      <c r="BD1384" s="4"/>
      <c r="BE1384" s="4"/>
      <c r="BF1384" s="3"/>
      <c r="BG1384" s="3"/>
      <c r="BH1384" s="3"/>
      <c r="BI1384" s="4"/>
      <c r="BJ1384" s="3"/>
      <c r="BK1384" s="4"/>
      <c r="BL1384" s="4"/>
      <c r="BM1384" s="3"/>
      <c r="BN1384" s="4"/>
      <c r="BO1384" s="4"/>
      <c r="BP1384" s="4"/>
      <c r="BQ1384" s="4"/>
      <c r="BR1384" s="4"/>
      <c r="BS1384" s="4"/>
      <c r="BT1384" s="4"/>
      <c r="BU1384" s="4"/>
      <c r="BV1384" s="4"/>
      <c r="BW1384" s="4"/>
      <c r="BX1384" s="4"/>
      <c r="BY1384" s="4"/>
      <c r="BZ1384" s="4"/>
      <c r="CA1384" s="4"/>
      <c r="CB1384" s="4"/>
      <c r="CC1384" s="4"/>
      <c r="CD1384" s="4"/>
      <c r="CE1384" s="4"/>
      <c r="CF1384" s="4"/>
      <c r="CG1384" s="4"/>
      <c r="CH1384" s="4"/>
      <c r="CI1384" s="4"/>
      <c r="CJ1384" s="4"/>
      <c r="CK1384" s="4"/>
      <c r="CL1384" s="4"/>
      <c r="CM1384" s="4"/>
      <c r="CN1384" s="4"/>
      <c r="CO1384" s="4"/>
      <c r="CP1384" s="4"/>
      <c r="CQ1384" s="4"/>
      <c r="CR1384" s="4"/>
      <c r="CS1384" s="4"/>
      <c r="CT1384" s="4"/>
      <c r="CU1384" s="4"/>
      <c r="CV1384" s="4"/>
      <c r="CW1384" s="4"/>
      <c r="CX1384" s="4"/>
      <c r="CY1384" s="3"/>
      <c r="CZ1384" s="3"/>
      <c r="DA1384" s="4"/>
      <c r="DB1384" s="4"/>
      <c r="DC1384" s="4"/>
      <c r="DD1384" s="4"/>
      <c r="DE1384" s="4"/>
      <c r="DF1384" s="4"/>
      <c r="DG1384" s="4"/>
      <c r="DH1384" s="4"/>
      <c r="DI1384" s="4"/>
      <c r="DJ1384" s="4"/>
      <c r="DK1384" s="4"/>
      <c r="DL1384" s="4"/>
      <c r="DM1384" s="4"/>
      <c r="DN1384" s="4"/>
      <c r="DO1384" s="4"/>
      <c r="DP1384" s="4"/>
      <c r="DQ1384" s="4"/>
      <c r="DR1384" s="4"/>
      <c r="DS1384" s="4"/>
      <c r="DT1384" s="4"/>
      <c r="DU1384" s="4"/>
      <c r="DV1384" s="4"/>
      <c r="DW1384" s="4"/>
      <c r="DX1384" s="4"/>
      <c r="DY1384" s="4"/>
      <c r="DZ1384" s="4"/>
      <c r="EA1384" s="4"/>
      <c r="EB1384" s="4"/>
      <c r="EC1384" s="4"/>
      <c r="ED1384" s="4"/>
      <c r="EE1384" s="4"/>
      <c r="EF1384" s="4"/>
      <c r="EG1384" s="4"/>
      <c r="EH1384" s="4"/>
      <c r="EI1384" s="4"/>
      <c r="EJ1384" s="4"/>
      <c r="EK1384" s="4"/>
      <c r="EL1384" s="4"/>
    </row>
    <row r="1385" spans="1:150" hidden="1">
      <c r="A1385" s="11" t="s">
        <v>9940</v>
      </c>
      <c r="B1385" s="3" t="s">
        <v>8373</v>
      </c>
      <c r="C1385" s="3">
        <v>2014</v>
      </c>
      <c r="D1385" s="3" t="s">
        <v>3443</v>
      </c>
      <c r="E1385" s="3" t="s">
        <v>9533</v>
      </c>
      <c r="F1385" s="3">
        <v>1</v>
      </c>
      <c r="G1385" s="3"/>
      <c r="H1385" s="3" t="s">
        <v>9534</v>
      </c>
      <c r="I1385" s="3"/>
      <c r="J1385" s="3"/>
      <c r="K1385" s="3" t="s">
        <v>84</v>
      </c>
      <c r="L1385" s="4"/>
      <c r="M1385" s="3" t="s">
        <v>9047</v>
      </c>
      <c r="T1385" s="3" t="s">
        <v>3445</v>
      </c>
      <c r="V1385" s="3"/>
      <c r="W1385" s="3"/>
      <c r="X1385" s="5" t="s">
        <v>3448</v>
      </c>
      <c r="Y1385" s="5"/>
      <c r="Z1385" s="3">
        <v>0</v>
      </c>
      <c r="AA1385" s="3" t="s">
        <v>9178</v>
      </c>
      <c r="AB1385" s="4"/>
      <c r="AE1385" s="3"/>
      <c r="AF1385" s="4"/>
      <c r="AG1385" s="4"/>
      <c r="AH1385" s="4"/>
      <c r="AI1385" s="4"/>
      <c r="AJ1385" s="4"/>
      <c r="AK1385" s="3"/>
      <c r="AL1385" s="3"/>
      <c r="AM1385" s="3"/>
      <c r="AN1385" s="3"/>
      <c r="AO1385" s="4"/>
      <c r="AP1385" s="3"/>
      <c r="AQ1385" s="4"/>
      <c r="AR1385" s="3"/>
      <c r="AS1385" s="3"/>
      <c r="AT1385" s="4"/>
      <c r="AU1385" s="3"/>
      <c r="AV1385" s="4"/>
      <c r="AW1385" s="4"/>
      <c r="AX1385" s="4"/>
      <c r="AY1385" s="4"/>
      <c r="AZ1385" s="4"/>
      <c r="BA1385" s="4"/>
      <c r="BB1385" s="4"/>
      <c r="BC1385" s="4"/>
      <c r="BD1385" s="4"/>
      <c r="BE1385" s="4"/>
      <c r="BF1385" s="3"/>
      <c r="BG1385" s="3"/>
      <c r="BH1385" s="3"/>
      <c r="BI1385" s="4"/>
      <c r="BJ1385" s="3"/>
      <c r="BK1385" s="4"/>
      <c r="BL1385" s="4"/>
      <c r="BM1385" s="3"/>
      <c r="BN1385" s="4"/>
      <c r="BO1385" s="4"/>
      <c r="BP1385" s="4"/>
      <c r="BQ1385" s="4"/>
      <c r="BR1385" s="4"/>
      <c r="BS1385" s="4"/>
      <c r="BT1385" s="4"/>
      <c r="BU1385" s="4"/>
      <c r="BV1385" s="4"/>
      <c r="BW1385" s="4"/>
      <c r="BX1385" s="4"/>
      <c r="BY1385" s="4"/>
      <c r="BZ1385" s="4"/>
      <c r="CA1385" s="4"/>
      <c r="CB1385" s="4"/>
      <c r="CC1385" s="4"/>
      <c r="CD1385" s="4"/>
      <c r="CE1385" s="4"/>
      <c r="CF1385" s="4"/>
      <c r="CG1385" s="4"/>
      <c r="CH1385" s="4"/>
      <c r="CI1385" s="4"/>
      <c r="CJ1385" s="3"/>
      <c r="CK1385" s="3"/>
      <c r="CL1385" s="4"/>
      <c r="CM1385" s="4"/>
      <c r="CN1385" s="4"/>
      <c r="CO1385" s="4"/>
      <c r="CP1385" s="4"/>
      <c r="CQ1385" s="4"/>
      <c r="CR1385" s="4"/>
      <c r="CS1385" s="4"/>
      <c r="CT1385" s="4"/>
      <c r="CU1385" s="4"/>
      <c r="CV1385" s="4"/>
      <c r="CW1385" s="4"/>
      <c r="CX1385" s="4"/>
      <c r="CY1385" s="4"/>
      <c r="CZ1385" s="4"/>
      <c r="DA1385" s="4"/>
      <c r="DB1385" s="4"/>
      <c r="DC1385" s="4"/>
      <c r="DD1385" s="4"/>
      <c r="DE1385" s="4"/>
      <c r="DF1385" s="4"/>
      <c r="DG1385" s="4"/>
      <c r="DH1385" s="4"/>
      <c r="DI1385" s="4"/>
      <c r="DJ1385" s="4"/>
      <c r="DK1385" s="4"/>
      <c r="DL1385" s="4"/>
      <c r="DM1385" s="4"/>
      <c r="DN1385" s="4"/>
      <c r="DO1385" s="4"/>
      <c r="DP1385" s="4"/>
      <c r="DQ1385" s="4"/>
      <c r="DR1385" s="4"/>
      <c r="DS1385" s="4"/>
      <c r="DT1385" s="4"/>
      <c r="DU1385" s="4"/>
      <c r="DV1385" s="4"/>
      <c r="DW1385" s="4"/>
    </row>
    <row r="1386" spans="1:150" hidden="1">
      <c r="A1386" s="11" t="s">
        <v>9940</v>
      </c>
      <c r="B1386" s="3" t="s">
        <v>8373</v>
      </c>
      <c r="C1386" s="3">
        <v>2006</v>
      </c>
      <c r="D1386" s="3" t="s">
        <v>7578</v>
      </c>
      <c r="E1386" s="3" t="s">
        <v>9535</v>
      </c>
      <c r="F1386" s="3">
        <v>0</v>
      </c>
      <c r="G1386" s="3" t="s">
        <v>9265</v>
      </c>
      <c r="H1386" s="3" t="s">
        <v>7583</v>
      </c>
      <c r="I1386" s="3"/>
      <c r="J1386" s="3"/>
      <c r="K1386" s="3" t="s">
        <v>7579</v>
      </c>
      <c r="L1386" s="4"/>
      <c r="M1386" s="3" t="s">
        <v>9536</v>
      </c>
      <c r="T1386" s="3" t="s">
        <v>7581</v>
      </c>
      <c r="V1386" s="4"/>
      <c r="W1386" s="4"/>
      <c r="X1386" s="5" t="s">
        <v>7584</v>
      </c>
      <c r="Y1386" s="5"/>
      <c r="Z1386" s="4"/>
      <c r="AA1386" s="4"/>
      <c r="AB1386" s="4"/>
      <c r="AE1386" s="4"/>
      <c r="AF1386" s="4"/>
      <c r="AG1386" s="3"/>
      <c r="AH1386" s="3"/>
      <c r="AI1386" s="3"/>
      <c r="AJ1386" s="3"/>
      <c r="AK1386" s="4"/>
      <c r="AL1386" s="3"/>
      <c r="AM1386" s="4"/>
      <c r="AN1386" s="3"/>
      <c r="AO1386" s="3"/>
      <c r="AP1386" s="4"/>
      <c r="AQ1386" s="3"/>
      <c r="AR1386" s="4"/>
      <c r="AS1386" s="4"/>
      <c r="AT1386" s="4"/>
      <c r="AU1386" s="4"/>
      <c r="AV1386" s="4"/>
      <c r="AW1386" s="4"/>
      <c r="AX1386" s="4"/>
      <c r="AY1386" s="4"/>
      <c r="AZ1386" s="4"/>
      <c r="BA1386" s="4"/>
      <c r="BB1386" s="3"/>
      <c r="BC1386" s="3"/>
      <c r="BD1386" s="3"/>
      <c r="BE1386" s="4"/>
      <c r="BF1386" s="3"/>
      <c r="BG1386" s="4"/>
      <c r="BH1386" s="4"/>
      <c r="BI1386" s="3"/>
      <c r="BJ1386" s="4"/>
      <c r="BK1386" s="4"/>
      <c r="BL1386" s="4"/>
      <c r="BM1386" s="4"/>
      <c r="BN1386" s="4"/>
      <c r="BO1386" s="4"/>
      <c r="BP1386" s="4"/>
      <c r="BQ1386" s="4"/>
      <c r="BR1386" s="4"/>
      <c r="BS1386" s="4"/>
      <c r="BT1386" s="4"/>
      <c r="BU1386" s="4"/>
      <c r="BV1386" s="4"/>
      <c r="BW1386" s="4"/>
      <c r="BX1386" s="4"/>
      <c r="BY1386" s="4"/>
      <c r="BZ1386" s="4"/>
      <c r="CA1386" s="4"/>
      <c r="CB1386" s="3"/>
      <c r="CC1386" s="3"/>
      <c r="CD1386" s="4"/>
      <c r="CE1386" s="4"/>
      <c r="CF1386" s="4"/>
      <c r="CG1386" s="4"/>
      <c r="CH1386" s="4"/>
      <c r="CI1386" s="4"/>
      <c r="CJ1386" s="4"/>
      <c r="CK1386" s="4"/>
      <c r="CL1386" s="4"/>
      <c r="CM1386" s="4"/>
      <c r="CN1386" s="4"/>
      <c r="CO1386" s="4"/>
      <c r="CP1386" s="4"/>
      <c r="CQ1386" s="4"/>
      <c r="CR1386" s="4"/>
      <c r="CS1386" s="4"/>
      <c r="CT1386" s="4"/>
      <c r="CU1386" s="4"/>
      <c r="CV1386" s="4"/>
      <c r="CW1386" s="4"/>
      <c r="CX1386" s="4"/>
      <c r="CY1386" s="4"/>
      <c r="CZ1386" s="4"/>
      <c r="DA1386" s="4"/>
      <c r="DB1386" s="4"/>
      <c r="DC1386" s="4"/>
      <c r="DD1386" s="4"/>
      <c r="DE1386" s="4"/>
      <c r="DF1386" s="4"/>
      <c r="DG1386" s="4"/>
      <c r="DH1386" s="4"/>
      <c r="DI1386" s="4"/>
      <c r="DJ1386" s="4"/>
      <c r="DK1386" s="4"/>
      <c r="DL1386" s="4"/>
      <c r="DM1386" s="4"/>
      <c r="DN1386" s="4"/>
      <c r="DO1386" s="4"/>
    </row>
    <row r="1387" spans="1:150" hidden="1">
      <c r="A1387" s="11" t="s">
        <v>9940</v>
      </c>
      <c r="B1387" s="3" t="s">
        <v>8373</v>
      </c>
      <c r="C1387" s="3">
        <v>2016</v>
      </c>
      <c r="D1387" s="3" t="s">
        <v>8068</v>
      </c>
      <c r="E1387" s="3" t="s">
        <v>9537</v>
      </c>
      <c r="F1387" s="3">
        <v>0</v>
      </c>
      <c r="G1387" s="3" t="s">
        <v>9237</v>
      </c>
      <c r="H1387" s="3" t="s">
        <v>9539</v>
      </c>
      <c r="I1387" s="3"/>
      <c r="J1387" s="3"/>
      <c r="K1387" s="3" t="s">
        <v>8069</v>
      </c>
      <c r="L1387" s="4"/>
      <c r="M1387" s="3" t="s">
        <v>9538</v>
      </c>
      <c r="T1387" s="3" t="s">
        <v>8071</v>
      </c>
      <c r="V1387" s="4"/>
      <c r="W1387" s="4"/>
      <c r="X1387" s="5" t="s">
        <v>8075</v>
      </c>
      <c r="Y1387" s="5"/>
      <c r="Z1387" s="4"/>
      <c r="AA1387" s="4"/>
      <c r="AB1387" s="4"/>
      <c r="AE1387" s="4"/>
      <c r="AF1387" s="4"/>
      <c r="AG1387" s="3"/>
      <c r="AH1387" s="3"/>
      <c r="AI1387" s="3"/>
      <c r="AJ1387" s="3"/>
      <c r="AK1387" s="4"/>
      <c r="AL1387" s="3"/>
      <c r="AM1387" s="4"/>
      <c r="AN1387" s="3"/>
      <c r="AO1387" s="3"/>
      <c r="AP1387" s="4"/>
      <c r="AQ1387" s="3"/>
      <c r="AR1387" s="4"/>
      <c r="AS1387" s="4"/>
      <c r="AT1387" s="4"/>
      <c r="AU1387" s="4"/>
      <c r="AV1387" s="4"/>
      <c r="AW1387" s="4"/>
      <c r="AX1387" s="4"/>
      <c r="AY1387" s="4"/>
      <c r="AZ1387" s="4"/>
      <c r="BA1387" s="4"/>
      <c r="BB1387" s="3"/>
      <c r="BC1387" s="3"/>
      <c r="BD1387" s="3"/>
      <c r="BE1387" s="4"/>
      <c r="BF1387" s="3"/>
      <c r="BG1387" s="4"/>
      <c r="BH1387" s="3"/>
      <c r="BI1387" s="4"/>
      <c r="BJ1387" s="4"/>
      <c r="BK1387" s="4"/>
      <c r="BL1387" s="4"/>
      <c r="BM1387" s="4"/>
      <c r="BN1387" s="4"/>
      <c r="BO1387" s="4"/>
      <c r="BP1387" s="4"/>
      <c r="BQ1387" s="4"/>
      <c r="BR1387" s="4"/>
      <c r="BS1387" s="4"/>
      <c r="BT1387" s="4"/>
      <c r="BU1387" s="4"/>
      <c r="BV1387" s="4"/>
      <c r="BW1387" s="4"/>
      <c r="BX1387" s="4"/>
      <c r="BY1387" s="4"/>
      <c r="BZ1387" s="4"/>
      <c r="CA1387" s="4"/>
      <c r="CB1387" s="4"/>
      <c r="CC1387" s="4"/>
      <c r="CD1387" s="4"/>
      <c r="CE1387" s="4"/>
      <c r="CF1387" s="4"/>
      <c r="CG1387" s="4"/>
      <c r="CH1387" s="4"/>
      <c r="CI1387" s="4"/>
      <c r="CJ1387" s="4"/>
      <c r="CK1387" s="4"/>
      <c r="CL1387" s="4"/>
      <c r="CM1387" s="4"/>
      <c r="CN1387" s="4"/>
      <c r="CO1387" s="4"/>
      <c r="CP1387" s="4"/>
      <c r="CQ1387" s="4"/>
      <c r="CR1387" s="4"/>
      <c r="CS1387" s="4"/>
      <c r="CT1387" s="4"/>
      <c r="CU1387" s="4"/>
      <c r="CV1387" s="4"/>
      <c r="CW1387" s="4"/>
      <c r="CX1387" s="4"/>
      <c r="CY1387" s="3"/>
      <c r="CZ1387" s="3"/>
      <c r="DA1387" s="4"/>
      <c r="DB1387" s="4"/>
      <c r="DC1387" s="4"/>
      <c r="DD1387" s="4"/>
      <c r="DE1387" s="4"/>
      <c r="DF1387" s="4"/>
      <c r="DG1387" s="4"/>
      <c r="DH1387" s="4"/>
      <c r="DI1387" s="4"/>
      <c r="DJ1387" s="4"/>
      <c r="DK1387" s="4"/>
      <c r="DL1387" s="4"/>
      <c r="DM1387" s="4"/>
      <c r="DN1387" s="4"/>
      <c r="DO1387" s="4"/>
      <c r="DP1387" s="4"/>
      <c r="DQ1387" s="4"/>
      <c r="DR1387" s="4"/>
      <c r="DS1387" s="4"/>
      <c r="DT1387" s="4"/>
      <c r="DU1387" s="4"/>
      <c r="DV1387" s="4"/>
      <c r="DW1387" s="4"/>
      <c r="DX1387" s="4"/>
      <c r="DY1387" s="4"/>
      <c r="DZ1387" s="4"/>
      <c r="EA1387" s="4"/>
      <c r="EB1387" s="4"/>
      <c r="EC1387" s="4"/>
      <c r="ED1387" s="4"/>
      <c r="EE1387" s="4"/>
      <c r="EF1387" s="4"/>
      <c r="EG1387" s="4"/>
      <c r="EH1387" s="4"/>
      <c r="EI1387" s="4"/>
      <c r="EJ1387" s="4"/>
      <c r="EK1387" s="4"/>
      <c r="EL1387" s="4"/>
    </row>
    <row r="1388" spans="1:150" hidden="1">
      <c r="A1388" s="11" t="s">
        <v>9940</v>
      </c>
      <c r="B1388" s="3" t="s">
        <v>8379</v>
      </c>
      <c r="C1388" s="3">
        <v>2012</v>
      </c>
      <c r="D1388" s="3" t="s">
        <v>529</v>
      </c>
      <c r="E1388" s="3" t="s">
        <v>8825</v>
      </c>
      <c r="F1388" s="3">
        <v>1</v>
      </c>
      <c r="G1388" s="4"/>
      <c r="H1388" s="3" t="s">
        <v>533</v>
      </c>
      <c r="I1388" s="3"/>
      <c r="J1388" s="3"/>
      <c r="K1388" s="4"/>
      <c r="L1388" s="4"/>
      <c r="M1388" s="4"/>
      <c r="T1388" s="4"/>
      <c r="V1388" s="3"/>
      <c r="W1388" s="4"/>
      <c r="X1388" s="5" t="s">
        <v>534</v>
      </c>
      <c r="Y1388" s="5"/>
      <c r="Z1388" s="3">
        <v>1</v>
      </c>
      <c r="AA1388" s="4"/>
      <c r="AB1388" s="4"/>
      <c r="AE1388" s="3"/>
      <c r="AF1388" s="3"/>
      <c r="AG1388" s="3"/>
      <c r="AH1388" s="4"/>
      <c r="AI1388" s="4"/>
      <c r="AJ1388" s="4"/>
      <c r="AK1388" s="3"/>
      <c r="AL1388" s="3"/>
      <c r="AM1388" s="3"/>
      <c r="AN1388" s="3"/>
      <c r="AO1388" s="4"/>
      <c r="AP1388" s="4"/>
      <c r="AQ1388" s="3"/>
      <c r="AR1388" s="4"/>
      <c r="AS1388" s="4"/>
      <c r="AT1388" s="4"/>
      <c r="AU1388" s="4"/>
      <c r="AV1388" s="4"/>
      <c r="AW1388" s="4"/>
      <c r="AX1388" s="4"/>
      <c r="AY1388" s="4"/>
      <c r="AZ1388" s="4"/>
      <c r="BA1388" s="3"/>
      <c r="BB1388" s="4"/>
      <c r="BC1388" s="3"/>
      <c r="BD1388" s="3"/>
      <c r="BE1388" s="3"/>
      <c r="BF1388" s="4"/>
      <c r="BG1388" s="3"/>
      <c r="BH1388" s="3"/>
      <c r="BI1388" s="4"/>
      <c r="BJ1388" s="4"/>
      <c r="BK1388" s="4"/>
      <c r="BL1388" s="4"/>
      <c r="BM1388" s="4"/>
      <c r="BN1388" s="4"/>
      <c r="BO1388" s="4"/>
      <c r="BP1388" s="4"/>
      <c r="BQ1388" s="4"/>
      <c r="BR1388" s="4"/>
      <c r="BS1388" s="4"/>
      <c r="BT1388" s="4"/>
      <c r="BU1388" s="4"/>
      <c r="BV1388" s="4"/>
      <c r="BW1388" s="4"/>
      <c r="BX1388" s="4"/>
      <c r="BY1388" s="4"/>
      <c r="BZ1388" s="4"/>
      <c r="CA1388" s="4"/>
      <c r="CB1388" s="4"/>
      <c r="CC1388" s="4"/>
      <c r="CD1388" s="4"/>
      <c r="CE1388" s="4"/>
      <c r="CF1388" s="4"/>
      <c r="CG1388" s="4"/>
      <c r="CH1388" s="4"/>
      <c r="CI1388" s="4"/>
      <c r="CJ1388" s="4"/>
      <c r="CK1388" s="4"/>
      <c r="CL1388" s="4"/>
      <c r="CM1388" s="4"/>
      <c r="CN1388" s="4"/>
      <c r="CO1388" s="4"/>
      <c r="CP1388" s="4"/>
      <c r="CQ1388" s="4"/>
      <c r="CR1388" s="4"/>
      <c r="CS1388" s="4"/>
      <c r="CT1388" s="4"/>
      <c r="CU1388" s="4"/>
      <c r="CV1388" s="4"/>
      <c r="CW1388" s="4"/>
      <c r="CX1388" s="4"/>
      <c r="CY1388" s="4"/>
      <c r="CZ1388" s="4"/>
      <c r="DA1388" s="3"/>
      <c r="DB1388" s="3"/>
      <c r="DC1388" s="3"/>
      <c r="DD1388" s="4"/>
      <c r="DE1388" s="4"/>
      <c r="DF1388" s="4"/>
      <c r="DG1388" s="4"/>
      <c r="DH1388" s="8"/>
      <c r="DI1388" s="8"/>
      <c r="DJ1388" s="8"/>
      <c r="DK1388" s="8"/>
      <c r="DL1388" s="4"/>
      <c r="DM1388" s="4"/>
      <c r="DN1388" s="4"/>
      <c r="DO1388" s="4"/>
      <c r="DP1388" s="8"/>
      <c r="DQ1388" s="4"/>
      <c r="DR1388" s="4"/>
      <c r="DS1388" s="4"/>
      <c r="DT1388" s="4"/>
      <c r="DU1388" s="4"/>
      <c r="DV1388" s="4"/>
      <c r="DW1388" s="4"/>
      <c r="DX1388" s="4"/>
      <c r="DY1388" s="4"/>
      <c r="DZ1388" s="4"/>
      <c r="EA1388" s="4"/>
      <c r="EB1388" s="4"/>
      <c r="EC1388" s="4"/>
      <c r="ED1388" s="4"/>
      <c r="EE1388" s="4"/>
      <c r="EF1388" s="8"/>
      <c r="EG1388" s="8"/>
      <c r="EH1388" s="8"/>
      <c r="EI1388" s="8"/>
      <c r="EJ1388" s="8"/>
      <c r="EK1388" s="8"/>
      <c r="EL1388" s="4"/>
      <c r="EM1388" s="4"/>
      <c r="EN1388" s="3"/>
    </row>
    <row r="1389" spans="1:150" hidden="1">
      <c r="A1389" s="11" t="s">
        <v>9940</v>
      </c>
      <c r="B1389" s="3" t="s">
        <v>8373</v>
      </c>
      <c r="C1389" s="3">
        <v>2007</v>
      </c>
      <c r="D1389" s="3" t="s">
        <v>840</v>
      </c>
      <c r="E1389" s="3" t="s">
        <v>9540</v>
      </c>
      <c r="F1389" s="3">
        <v>1</v>
      </c>
      <c r="G1389" s="3"/>
      <c r="H1389" s="3" t="s">
        <v>845</v>
      </c>
      <c r="I1389" s="3"/>
      <c r="J1389" s="3"/>
      <c r="K1389" s="3" t="s">
        <v>841</v>
      </c>
      <c r="L1389" s="4"/>
      <c r="M1389" s="3" t="s">
        <v>9541</v>
      </c>
      <c r="T1389" s="4"/>
      <c r="V1389" s="3"/>
      <c r="W1389" s="3"/>
      <c r="X1389" s="5" t="s">
        <v>846</v>
      </c>
      <c r="Y1389" s="5"/>
      <c r="Z1389" s="3">
        <v>0</v>
      </c>
      <c r="AA1389" s="3" t="s">
        <v>9265</v>
      </c>
      <c r="AB1389" s="4"/>
      <c r="AE1389" s="3"/>
      <c r="AF1389" s="4"/>
      <c r="AG1389" s="4"/>
      <c r="AH1389" s="4"/>
      <c r="AI1389" s="4"/>
      <c r="AJ1389" s="4"/>
      <c r="AK1389" s="3"/>
      <c r="AL1389" s="3"/>
      <c r="AM1389" s="3"/>
      <c r="AN1389" s="3"/>
      <c r="AO1389" s="4"/>
      <c r="AP1389" s="3"/>
      <c r="AQ1389" s="4"/>
      <c r="AR1389" s="3"/>
      <c r="AS1389" s="3"/>
      <c r="AT1389" s="4"/>
      <c r="AU1389" s="3"/>
      <c r="AV1389" s="4"/>
      <c r="AW1389" s="4"/>
      <c r="AX1389" s="4"/>
      <c r="AY1389" s="4"/>
      <c r="AZ1389" s="4"/>
      <c r="BA1389" s="4"/>
      <c r="BB1389" s="4"/>
      <c r="BC1389" s="4"/>
      <c r="BD1389" s="4"/>
      <c r="BE1389" s="4"/>
      <c r="BF1389" s="3"/>
      <c r="BG1389" s="3"/>
      <c r="BH1389" s="3"/>
      <c r="BI1389" s="4"/>
      <c r="BJ1389" s="3"/>
      <c r="BK1389" s="4"/>
      <c r="BL1389" s="4"/>
      <c r="BM1389" s="3"/>
      <c r="BN1389" s="4"/>
      <c r="BO1389" s="4"/>
      <c r="BP1389" s="4"/>
      <c r="BQ1389" s="4"/>
      <c r="BR1389" s="4"/>
      <c r="BS1389" s="4"/>
      <c r="BT1389" s="4"/>
      <c r="BU1389" s="4"/>
      <c r="BV1389" s="4"/>
      <c r="BW1389" s="4"/>
      <c r="BX1389" s="4"/>
      <c r="BY1389" s="4"/>
      <c r="BZ1389" s="4"/>
      <c r="CA1389" s="4"/>
      <c r="CB1389" s="4"/>
      <c r="CC1389" s="4"/>
      <c r="CD1389" s="4"/>
      <c r="CE1389" s="4"/>
      <c r="CF1389" s="4"/>
      <c r="CG1389" s="4"/>
      <c r="CH1389" s="4"/>
      <c r="CI1389" s="4"/>
      <c r="CJ1389" s="4"/>
      <c r="CK1389" s="4"/>
      <c r="CL1389" s="4"/>
      <c r="CM1389" s="4"/>
      <c r="CN1389" s="4"/>
      <c r="CO1389" s="4"/>
      <c r="CP1389" s="4"/>
      <c r="CQ1389" s="4"/>
      <c r="CR1389" s="4"/>
      <c r="CS1389" s="4"/>
      <c r="CT1389" s="4"/>
      <c r="CU1389" s="4"/>
      <c r="CV1389" s="4"/>
      <c r="CW1389" s="4"/>
      <c r="CX1389" s="4"/>
      <c r="CY1389" s="4"/>
      <c r="CZ1389" s="4"/>
      <c r="DA1389" s="4"/>
      <c r="DB1389" s="4"/>
      <c r="DC1389" s="3"/>
      <c r="DD1389" s="3"/>
      <c r="DE1389" s="4"/>
      <c r="DF1389" s="4"/>
      <c r="DG1389" s="4"/>
      <c r="DH1389" s="4"/>
      <c r="DI1389" s="4"/>
      <c r="DJ1389" s="4"/>
      <c r="DK1389" s="4"/>
      <c r="DL1389" s="4"/>
      <c r="DM1389" s="4"/>
      <c r="DN1389" s="4"/>
      <c r="DO1389" s="4"/>
      <c r="DP1389" s="4"/>
      <c r="DQ1389" s="4"/>
      <c r="DR1389" s="4"/>
      <c r="DS1389" s="4"/>
      <c r="DT1389" s="4"/>
      <c r="DU1389" s="4"/>
      <c r="DV1389" s="4"/>
      <c r="DW1389" s="4"/>
      <c r="DX1389" s="4"/>
      <c r="DY1389" s="4"/>
      <c r="DZ1389" s="4"/>
      <c r="EA1389" s="4"/>
      <c r="EB1389" s="4"/>
      <c r="EC1389" s="4"/>
      <c r="ED1389" s="4"/>
      <c r="EE1389" s="4"/>
      <c r="EF1389" s="4"/>
      <c r="EG1389" s="4"/>
      <c r="EH1389" s="4"/>
      <c r="EI1389" s="4"/>
      <c r="EJ1389" s="4"/>
      <c r="EK1389" s="4"/>
      <c r="EL1389" s="4"/>
      <c r="EM1389" s="4"/>
      <c r="EN1389" s="4"/>
      <c r="EO1389" s="4"/>
      <c r="EP1389" s="4"/>
    </row>
    <row r="1390" spans="1:150" hidden="1">
      <c r="A1390" s="11" t="s">
        <v>9940</v>
      </c>
      <c r="B1390" s="3" t="s">
        <v>8373</v>
      </c>
      <c r="C1390" s="3">
        <v>2007</v>
      </c>
      <c r="D1390" s="3" t="s">
        <v>8826</v>
      </c>
      <c r="E1390" s="3" t="s">
        <v>8827</v>
      </c>
      <c r="F1390" s="3">
        <v>1</v>
      </c>
      <c r="G1390" s="3"/>
      <c r="H1390" s="3" t="s">
        <v>8828</v>
      </c>
      <c r="I1390" s="3"/>
      <c r="J1390" s="3"/>
      <c r="K1390" s="3" t="s">
        <v>703</v>
      </c>
      <c r="L1390" s="4"/>
      <c r="M1390" s="3" t="s">
        <v>8801</v>
      </c>
      <c r="T1390" s="3" t="s">
        <v>705</v>
      </c>
      <c r="V1390" s="3"/>
      <c r="W1390" s="3"/>
      <c r="X1390" s="5" t="s">
        <v>708</v>
      </c>
      <c r="Y1390" s="5"/>
      <c r="Z1390" s="3">
        <v>1</v>
      </c>
      <c r="AA1390" s="4"/>
      <c r="AB1390" s="3"/>
      <c r="AE1390" s="3"/>
      <c r="AF1390" s="3"/>
      <c r="AG1390" s="4"/>
      <c r="AH1390" s="4"/>
      <c r="AI1390" s="4"/>
      <c r="AJ1390" s="4"/>
      <c r="AK1390" s="3"/>
      <c r="AL1390" s="3"/>
      <c r="AM1390" s="3"/>
      <c r="AN1390" s="3"/>
      <c r="AO1390" s="4"/>
      <c r="AP1390" s="3"/>
      <c r="AQ1390" s="3"/>
      <c r="AR1390" s="3"/>
      <c r="AS1390" s="4"/>
      <c r="AT1390" s="3"/>
      <c r="AU1390" s="4"/>
      <c r="AV1390" s="4"/>
      <c r="AW1390" s="4"/>
      <c r="AX1390" s="4"/>
      <c r="AY1390" s="4"/>
      <c r="AZ1390" s="4"/>
      <c r="BA1390" s="4"/>
      <c r="BB1390" s="4"/>
      <c r="BC1390" s="4"/>
      <c r="BD1390" s="4"/>
      <c r="BE1390" s="3"/>
      <c r="BF1390" s="3"/>
      <c r="BG1390" s="3"/>
      <c r="BH1390" s="4"/>
      <c r="BI1390" s="3"/>
      <c r="BJ1390" s="4"/>
      <c r="BK1390" s="4"/>
      <c r="BL1390" s="3"/>
      <c r="BM1390" s="4"/>
      <c r="BN1390" s="4"/>
      <c r="BO1390" s="4"/>
      <c r="BP1390" s="4"/>
      <c r="BQ1390" s="4"/>
      <c r="BR1390" s="4"/>
      <c r="BS1390" s="4"/>
      <c r="BT1390" s="4"/>
      <c r="BU1390" s="4"/>
      <c r="BV1390" s="4"/>
      <c r="BW1390" s="4"/>
      <c r="BX1390" s="4"/>
      <c r="BY1390" s="4"/>
      <c r="BZ1390" s="4"/>
      <c r="CA1390" s="4"/>
      <c r="CB1390" s="4"/>
      <c r="CC1390" s="4"/>
      <c r="CD1390" s="4"/>
      <c r="CE1390" s="4"/>
      <c r="CF1390" s="4"/>
      <c r="CG1390" s="4"/>
      <c r="CH1390" s="4"/>
      <c r="CI1390" s="4"/>
      <c r="CJ1390" s="4"/>
      <c r="CK1390" s="4"/>
      <c r="CL1390" s="4"/>
      <c r="CM1390" s="4"/>
      <c r="CN1390" s="4"/>
      <c r="CO1390" s="4"/>
      <c r="CP1390" s="4"/>
      <c r="CQ1390" s="4"/>
      <c r="CR1390" s="4"/>
      <c r="CS1390" s="4"/>
      <c r="CT1390" s="4"/>
      <c r="CU1390" s="4"/>
      <c r="CV1390" s="4"/>
      <c r="CW1390" s="4"/>
      <c r="CX1390" s="4"/>
      <c r="CY1390" s="4"/>
      <c r="CZ1390" s="4"/>
      <c r="DA1390" s="4"/>
      <c r="DB1390" s="4"/>
      <c r="DC1390" s="3"/>
      <c r="DD1390" s="3"/>
      <c r="DE1390" s="8"/>
      <c r="DF1390" s="4"/>
      <c r="DG1390" s="4"/>
      <c r="DH1390" s="4"/>
      <c r="DI1390" s="4"/>
      <c r="DJ1390" s="8"/>
      <c r="DK1390" s="8"/>
      <c r="DL1390" s="8"/>
      <c r="DM1390" s="8"/>
      <c r="DN1390" s="4"/>
      <c r="DO1390" s="4"/>
      <c r="DP1390" s="4"/>
      <c r="DQ1390" s="4"/>
      <c r="DR1390" s="4"/>
      <c r="DS1390" s="4"/>
      <c r="DT1390" s="4"/>
      <c r="DU1390" s="4"/>
      <c r="DV1390" s="4"/>
      <c r="DW1390" s="4"/>
      <c r="DX1390" s="4"/>
      <c r="DY1390" s="4"/>
      <c r="DZ1390" s="4"/>
      <c r="EA1390" s="4"/>
      <c r="EB1390" s="4"/>
      <c r="EC1390" s="4"/>
      <c r="ED1390" s="4"/>
      <c r="EE1390" s="4"/>
      <c r="EF1390" s="4"/>
      <c r="EG1390" s="4"/>
      <c r="EH1390" s="8"/>
      <c r="EI1390" s="8"/>
      <c r="EJ1390" s="8"/>
      <c r="EK1390" s="8"/>
      <c r="EL1390" s="8"/>
      <c r="EM1390" s="8"/>
      <c r="EN1390" s="4"/>
      <c r="EO1390" s="4"/>
      <c r="EP1390" s="4"/>
    </row>
    <row r="1391" spans="1:150" hidden="1">
      <c r="A1391" s="11" t="s">
        <v>9940</v>
      </c>
      <c r="B1391" s="3" t="s">
        <v>8373</v>
      </c>
      <c r="C1391" s="3">
        <v>1996</v>
      </c>
      <c r="D1391" s="3" t="s">
        <v>8829</v>
      </c>
      <c r="E1391" s="3" t="s">
        <v>8830</v>
      </c>
      <c r="F1391" s="3">
        <v>1</v>
      </c>
      <c r="G1391" s="3"/>
      <c r="H1391" s="3" t="s">
        <v>8835</v>
      </c>
      <c r="I1391" s="3"/>
      <c r="J1391" s="3"/>
      <c r="K1391" s="3" t="s">
        <v>8831</v>
      </c>
      <c r="L1391" s="4"/>
      <c r="M1391" s="3" t="s">
        <v>8832</v>
      </c>
      <c r="T1391" s="3" t="s">
        <v>8833</v>
      </c>
      <c r="V1391" s="3"/>
      <c r="W1391" s="4"/>
      <c r="X1391" s="5" t="s">
        <v>8834</v>
      </c>
      <c r="Y1391" s="5"/>
      <c r="Z1391" s="3">
        <v>1</v>
      </c>
      <c r="AA1391" s="4"/>
      <c r="AB1391" s="4"/>
      <c r="AE1391" s="3"/>
      <c r="AF1391" s="3"/>
      <c r="AG1391" s="4"/>
      <c r="AH1391" s="4"/>
      <c r="AI1391" s="4"/>
      <c r="AJ1391" s="4"/>
      <c r="AK1391" s="3"/>
      <c r="AL1391" s="3"/>
      <c r="AM1391" s="3"/>
      <c r="AN1391" s="3"/>
      <c r="AO1391" s="4"/>
      <c r="AP1391" s="3"/>
      <c r="AQ1391" s="4"/>
      <c r="AR1391" s="3"/>
      <c r="AS1391" s="3"/>
      <c r="AT1391" s="4"/>
      <c r="AU1391" s="3"/>
      <c r="AV1391" s="4"/>
      <c r="AW1391" s="4"/>
      <c r="AX1391" s="4"/>
      <c r="AY1391" s="4"/>
      <c r="AZ1391" s="4"/>
      <c r="BA1391" s="4"/>
      <c r="BB1391" s="4"/>
      <c r="BC1391" s="4"/>
      <c r="BD1391" s="4"/>
      <c r="BE1391" s="4"/>
      <c r="BF1391" s="3"/>
      <c r="BG1391" s="3"/>
      <c r="BH1391" s="3"/>
      <c r="BI1391" s="4"/>
      <c r="BJ1391" s="3"/>
      <c r="BK1391" s="4"/>
      <c r="BL1391" s="4"/>
      <c r="BM1391" s="3"/>
      <c r="BN1391" s="4"/>
      <c r="BO1391" s="4"/>
      <c r="BP1391" s="4"/>
      <c r="BQ1391" s="4"/>
      <c r="BR1391" s="4"/>
      <c r="BS1391" s="4"/>
      <c r="BT1391" s="4"/>
      <c r="BU1391" s="4"/>
      <c r="BV1391" s="4"/>
      <c r="BW1391" s="4"/>
      <c r="BX1391" s="4"/>
      <c r="BY1391" s="3"/>
      <c r="BZ1391" s="3"/>
      <c r="CA1391" s="8"/>
      <c r="CB1391" s="4"/>
      <c r="CC1391" s="4"/>
      <c r="CD1391" s="4"/>
      <c r="CE1391" s="4"/>
      <c r="CF1391" s="8"/>
      <c r="CG1391" s="8"/>
      <c r="CH1391" s="8"/>
      <c r="CI1391" s="8"/>
      <c r="CJ1391" s="4"/>
      <c r="CK1391" s="4"/>
      <c r="CL1391" s="4"/>
      <c r="CM1391" s="4"/>
      <c r="CN1391" s="8"/>
      <c r="CO1391" s="4"/>
      <c r="CP1391" s="4"/>
      <c r="CQ1391" s="4"/>
      <c r="CR1391" s="4"/>
      <c r="CS1391" s="4"/>
      <c r="CT1391" s="4"/>
      <c r="CU1391" s="4"/>
      <c r="CV1391" s="4"/>
      <c r="CW1391" s="4"/>
      <c r="CX1391" s="4"/>
      <c r="CY1391" s="4"/>
      <c r="CZ1391" s="4"/>
      <c r="DA1391" s="4"/>
      <c r="DB1391" s="4"/>
      <c r="DC1391" s="4"/>
      <c r="DD1391" s="8"/>
      <c r="DE1391" s="8"/>
      <c r="DF1391" s="8"/>
      <c r="DG1391" s="8"/>
      <c r="DH1391" s="8"/>
      <c r="DI1391" s="8"/>
      <c r="DJ1391" s="4"/>
      <c r="DK1391" s="4"/>
      <c r="DL1391" s="4"/>
    </row>
    <row r="1392" spans="1:150" hidden="1">
      <c r="A1392" s="11" t="s">
        <v>9940</v>
      </c>
      <c r="B1392" s="3" t="s">
        <v>8373</v>
      </c>
      <c r="C1392" s="3">
        <v>2014</v>
      </c>
      <c r="D1392" s="3" t="s">
        <v>5277</v>
      </c>
      <c r="E1392" s="3" t="s">
        <v>8836</v>
      </c>
      <c r="F1392" s="3">
        <v>1</v>
      </c>
      <c r="G1392" s="3"/>
      <c r="H1392" s="3" t="s">
        <v>5281</v>
      </c>
      <c r="I1392" s="3"/>
      <c r="J1392" s="3"/>
      <c r="K1392" s="3" t="s">
        <v>40</v>
      </c>
      <c r="L1392" s="4"/>
      <c r="M1392" s="3" t="s">
        <v>8500</v>
      </c>
      <c r="T1392" s="3" t="s">
        <v>5279</v>
      </c>
      <c r="V1392" s="3"/>
      <c r="W1392" s="3"/>
      <c r="X1392" s="5" t="s">
        <v>5282</v>
      </c>
      <c r="Y1392" s="5"/>
      <c r="Z1392" s="3">
        <v>1</v>
      </c>
      <c r="AA1392" s="4"/>
      <c r="AB1392" s="4"/>
      <c r="AE1392" s="3"/>
      <c r="AF1392" s="3"/>
      <c r="AG1392" s="4"/>
      <c r="AH1392" s="4"/>
      <c r="AI1392" s="4"/>
      <c r="AJ1392" s="4"/>
      <c r="AK1392" s="3"/>
      <c r="AL1392" s="3"/>
      <c r="AM1392" s="3"/>
      <c r="AN1392" s="3"/>
      <c r="AO1392" s="4"/>
      <c r="AP1392" s="3"/>
      <c r="AQ1392" s="4"/>
      <c r="AR1392" s="3"/>
      <c r="AS1392" s="3"/>
      <c r="AT1392" s="4"/>
      <c r="AU1392" s="3"/>
      <c r="AV1392" s="4"/>
      <c r="AW1392" s="4"/>
      <c r="AX1392" s="4"/>
      <c r="AY1392" s="4"/>
      <c r="AZ1392" s="4"/>
      <c r="BA1392" s="4"/>
      <c r="BB1392" s="4"/>
      <c r="BC1392" s="4"/>
      <c r="BD1392" s="4"/>
      <c r="BE1392" s="4"/>
      <c r="BF1392" s="3"/>
      <c r="BG1392" s="3"/>
      <c r="BH1392" s="3"/>
      <c r="BI1392" s="4"/>
      <c r="BJ1392" s="3"/>
      <c r="BK1392" s="4"/>
      <c r="BL1392" s="4"/>
      <c r="BM1392" s="4"/>
      <c r="BN1392" s="3"/>
      <c r="BO1392" s="4"/>
      <c r="BP1392" s="4"/>
      <c r="BQ1392" s="4"/>
      <c r="BR1392" s="4"/>
      <c r="BS1392" s="4"/>
      <c r="BT1392" s="4"/>
      <c r="BU1392" s="4"/>
      <c r="BV1392" s="4"/>
      <c r="BW1392" s="4"/>
      <c r="BX1392" s="4"/>
      <c r="BY1392" s="4"/>
      <c r="BZ1392" s="4"/>
      <c r="CA1392" s="4"/>
      <c r="CB1392" s="4"/>
      <c r="CC1392" s="4"/>
      <c r="CD1392" s="4"/>
      <c r="CE1392" s="4"/>
      <c r="CF1392" s="4"/>
      <c r="CG1392" s="4"/>
      <c r="CH1392" s="4"/>
      <c r="CI1392" s="4"/>
      <c r="CJ1392" s="4"/>
      <c r="CK1392" s="4"/>
      <c r="CL1392" s="4"/>
      <c r="CM1392" s="4"/>
      <c r="CN1392" s="4"/>
      <c r="CO1392" s="4"/>
      <c r="CP1392" s="4"/>
      <c r="CQ1392" s="3"/>
      <c r="CR1392" s="3"/>
      <c r="CS1392" s="8"/>
      <c r="CT1392" s="4"/>
      <c r="CU1392" s="4"/>
      <c r="CV1392" s="4"/>
      <c r="CW1392" s="4"/>
      <c r="CX1392" s="8"/>
      <c r="CY1392" s="8"/>
      <c r="CZ1392" s="8"/>
      <c r="DA1392" s="8"/>
      <c r="DB1392" s="4"/>
      <c r="DC1392" s="4"/>
      <c r="DD1392" s="4"/>
      <c r="DE1392" s="4"/>
      <c r="DF1392" s="4"/>
      <c r="DG1392" s="4"/>
      <c r="DH1392" s="4"/>
      <c r="DI1392" s="4"/>
      <c r="DJ1392" s="4"/>
      <c r="DK1392" s="4"/>
      <c r="DL1392" s="4"/>
      <c r="DM1392" s="4"/>
      <c r="DN1392" s="4"/>
      <c r="DO1392" s="4"/>
      <c r="DP1392" s="4"/>
      <c r="DQ1392" s="4"/>
      <c r="DR1392" s="4"/>
      <c r="DS1392" s="4"/>
      <c r="DT1392" s="4"/>
      <c r="DU1392" s="4"/>
      <c r="DV1392" s="8"/>
      <c r="DW1392" s="8"/>
      <c r="DX1392" s="8"/>
      <c r="DY1392" s="8"/>
      <c r="DZ1392" s="8"/>
      <c r="EA1392" s="8"/>
      <c r="EB1392" s="4"/>
      <c r="EC1392" s="4"/>
      <c r="ED1392" s="4"/>
    </row>
    <row r="1393" spans="1:149" hidden="1">
      <c r="A1393" s="11" t="s">
        <v>9940</v>
      </c>
      <c r="B1393" s="3" t="s">
        <v>8373</v>
      </c>
      <c r="C1393" s="3">
        <v>1994</v>
      </c>
      <c r="D1393" s="3" t="s">
        <v>8837</v>
      </c>
      <c r="E1393" s="3" t="s">
        <v>8838</v>
      </c>
      <c r="F1393" s="3">
        <v>1</v>
      </c>
      <c r="G1393" s="3"/>
      <c r="H1393" s="3" t="s">
        <v>8843</v>
      </c>
      <c r="I1393" s="3"/>
      <c r="J1393" s="3"/>
      <c r="K1393" s="3" t="s">
        <v>8839</v>
      </c>
      <c r="L1393" s="4"/>
      <c r="M1393" s="3" t="s">
        <v>8840</v>
      </c>
      <c r="T1393" s="3" t="s">
        <v>8841</v>
      </c>
      <c r="V1393" s="3"/>
      <c r="W1393" s="4"/>
      <c r="X1393" s="5" t="s">
        <v>8842</v>
      </c>
      <c r="Y1393" s="5"/>
      <c r="Z1393" s="3">
        <v>1</v>
      </c>
      <c r="AA1393" s="4"/>
      <c r="AB1393" s="4"/>
      <c r="AE1393" s="3"/>
      <c r="AF1393" s="3"/>
      <c r="AG1393" s="4"/>
      <c r="AH1393" s="4"/>
      <c r="AI1393" s="4"/>
      <c r="AJ1393" s="4"/>
      <c r="AK1393" s="3"/>
      <c r="AL1393" s="3"/>
      <c r="AM1393" s="3"/>
      <c r="AN1393" s="3"/>
      <c r="AO1393" s="4"/>
      <c r="AP1393" s="3"/>
      <c r="AQ1393" s="4"/>
      <c r="AR1393" s="3"/>
      <c r="AS1393" s="3"/>
      <c r="AT1393" s="4"/>
      <c r="AU1393" s="3"/>
      <c r="AV1393" s="4"/>
      <c r="AW1393" s="4"/>
      <c r="AX1393" s="4"/>
      <c r="AY1393" s="4"/>
      <c r="AZ1393" s="4"/>
      <c r="BA1393" s="4"/>
      <c r="BB1393" s="4"/>
      <c r="BC1393" s="4"/>
      <c r="BD1393" s="4"/>
      <c r="BE1393" s="4"/>
      <c r="BF1393" s="3"/>
      <c r="BG1393" s="3"/>
      <c r="BH1393" s="3"/>
      <c r="BI1393" s="4"/>
      <c r="BJ1393" s="3"/>
      <c r="BK1393" s="4"/>
      <c r="BL1393" s="4"/>
      <c r="BM1393" s="3"/>
      <c r="BN1393" s="4"/>
      <c r="BO1393" s="4"/>
      <c r="BP1393" s="4"/>
      <c r="BQ1393" s="4"/>
      <c r="BR1393" s="4"/>
      <c r="BS1393" s="4"/>
      <c r="BT1393" s="4"/>
      <c r="BU1393" s="4"/>
      <c r="BV1393" s="4"/>
      <c r="BW1393" s="4"/>
      <c r="BX1393" s="4"/>
      <c r="BY1393" s="4"/>
      <c r="BZ1393" s="4"/>
      <c r="CA1393" s="4"/>
      <c r="CB1393" s="4"/>
      <c r="CC1393" s="4"/>
      <c r="CD1393" s="4"/>
      <c r="CE1393" s="4"/>
      <c r="CF1393" s="4"/>
      <c r="CG1393" s="4"/>
      <c r="CH1393" s="4"/>
      <c r="CI1393" s="4"/>
      <c r="CJ1393" s="4"/>
      <c r="CK1393" s="4"/>
      <c r="CL1393" s="4"/>
      <c r="CM1393" s="4"/>
      <c r="CN1393" s="4"/>
      <c r="CO1393" s="4"/>
      <c r="CP1393" s="4"/>
      <c r="CQ1393" s="4"/>
      <c r="CR1393" s="4"/>
      <c r="CS1393" s="4"/>
      <c r="CT1393" s="4"/>
      <c r="CU1393" s="4"/>
      <c r="CV1393" s="4"/>
      <c r="CW1393" s="4"/>
      <c r="CX1393" s="4"/>
      <c r="CY1393" s="4"/>
      <c r="CZ1393" s="4"/>
      <c r="DA1393" s="4"/>
      <c r="DB1393" s="3"/>
      <c r="DC1393" s="3"/>
      <c r="DD1393" s="8"/>
      <c r="DE1393" s="4"/>
      <c r="DF1393" s="4"/>
      <c r="DG1393" s="4"/>
      <c r="DH1393" s="4"/>
      <c r="DI1393" s="8"/>
      <c r="DJ1393" s="8"/>
      <c r="DK1393" s="8"/>
      <c r="DL1393" s="8"/>
      <c r="DM1393" s="4"/>
      <c r="DN1393" s="4"/>
      <c r="DO1393" s="4"/>
      <c r="DP1393" s="4"/>
      <c r="DQ1393" s="8"/>
      <c r="DR1393" s="4"/>
      <c r="DS1393" s="4"/>
      <c r="DT1393" s="4"/>
      <c r="DU1393" s="4"/>
      <c r="DV1393" s="4"/>
      <c r="DW1393" s="4"/>
      <c r="DX1393" s="4"/>
      <c r="DY1393" s="4"/>
      <c r="DZ1393" s="4"/>
      <c r="EA1393" s="4"/>
      <c r="EB1393" s="4"/>
      <c r="EC1393" s="4"/>
      <c r="ED1393" s="4"/>
      <c r="EE1393" s="4"/>
      <c r="EF1393" s="4"/>
      <c r="EG1393" s="8"/>
      <c r="EH1393" s="8"/>
      <c r="EI1393" s="8"/>
      <c r="EJ1393" s="8"/>
      <c r="EK1393" s="8"/>
      <c r="EL1393" s="8"/>
      <c r="EM1393" s="4"/>
      <c r="EN1393" s="4"/>
      <c r="EO1393" s="4"/>
    </row>
    <row r="1394" spans="1:149" hidden="1">
      <c r="A1394" s="11" t="s">
        <v>9940</v>
      </c>
      <c r="B1394" s="3" t="s">
        <v>8373</v>
      </c>
      <c r="C1394" s="3">
        <v>2010</v>
      </c>
      <c r="D1394" s="3" t="s">
        <v>4679</v>
      </c>
      <c r="E1394" s="3" t="s">
        <v>8844</v>
      </c>
      <c r="F1394" s="3">
        <v>1</v>
      </c>
      <c r="G1394" s="3"/>
      <c r="H1394" s="3" t="s">
        <v>8846</v>
      </c>
      <c r="I1394" s="3"/>
      <c r="J1394" s="3"/>
      <c r="K1394" s="3" t="s">
        <v>4680</v>
      </c>
      <c r="L1394" s="4"/>
      <c r="M1394" s="3" t="s">
        <v>8845</v>
      </c>
      <c r="T1394" s="3" t="s">
        <v>4683</v>
      </c>
      <c r="V1394" s="3"/>
      <c r="W1394" s="4"/>
      <c r="X1394" s="5" t="s">
        <v>4686</v>
      </c>
      <c r="Y1394" s="5"/>
      <c r="Z1394" s="3">
        <v>1</v>
      </c>
      <c r="AA1394" s="4"/>
      <c r="AB1394" s="4"/>
      <c r="AE1394" s="3"/>
      <c r="AF1394" s="3"/>
      <c r="AG1394" s="4"/>
      <c r="AH1394" s="4"/>
      <c r="AI1394" s="4"/>
      <c r="AJ1394" s="4"/>
      <c r="AK1394" s="3"/>
      <c r="AL1394" s="3"/>
      <c r="AM1394" s="3"/>
      <c r="AN1394" s="3"/>
      <c r="AO1394" s="4"/>
      <c r="AP1394" s="3"/>
      <c r="AQ1394" s="4"/>
      <c r="AR1394" s="3"/>
      <c r="AS1394" s="3"/>
      <c r="AT1394" s="4"/>
      <c r="AU1394" s="3"/>
      <c r="AV1394" s="4"/>
      <c r="AW1394" s="4"/>
      <c r="AX1394" s="4"/>
      <c r="AY1394" s="4"/>
      <c r="AZ1394" s="4"/>
      <c r="BA1394" s="4"/>
      <c r="BB1394" s="4"/>
      <c r="BC1394" s="4"/>
      <c r="BD1394" s="4"/>
      <c r="BE1394" s="4"/>
      <c r="BF1394" s="3"/>
      <c r="BG1394" s="3"/>
      <c r="BH1394" s="3"/>
      <c r="BI1394" s="4"/>
      <c r="BJ1394" s="3"/>
      <c r="BK1394" s="4"/>
      <c r="BL1394" s="4"/>
      <c r="BM1394" s="3"/>
      <c r="BN1394" s="4"/>
      <c r="BO1394" s="4"/>
      <c r="BP1394" s="4"/>
      <c r="BQ1394" s="4"/>
      <c r="BR1394" s="4"/>
      <c r="BS1394" s="4"/>
      <c r="BT1394" s="4"/>
      <c r="BU1394" s="4"/>
      <c r="BV1394" s="4"/>
      <c r="BW1394" s="4"/>
      <c r="BX1394" s="4"/>
      <c r="BY1394" s="4"/>
      <c r="BZ1394" s="4"/>
      <c r="CA1394" s="4"/>
      <c r="CB1394" s="4"/>
      <c r="CC1394" s="4"/>
      <c r="CD1394" s="4"/>
      <c r="CE1394" s="4"/>
      <c r="CF1394" s="4"/>
      <c r="CG1394" s="4"/>
      <c r="CH1394" s="4"/>
      <c r="CI1394" s="4"/>
      <c r="CJ1394" s="4"/>
      <c r="CK1394" s="4"/>
      <c r="CL1394" s="3"/>
      <c r="CM1394" s="3"/>
      <c r="CN1394" s="8"/>
      <c r="CO1394" s="4"/>
      <c r="CP1394" s="4"/>
      <c r="CQ1394" s="4"/>
      <c r="CR1394" s="4"/>
      <c r="CS1394" s="8"/>
      <c r="CT1394" s="8"/>
      <c r="CU1394" s="8"/>
      <c r="CV1394" s="8"/>
      <c r="CW1394" s="4"/>
      <c r="CX1394" s="4"/>
      <c r="CY1394" s="4"/>
      <c r="CZ1394" s="4"/>
      <c r="DA1394" s="4"/>
      <c r="DB1394" s="4"/>
      <c r="DC1394" s="4"/>
      <c r="DD1394" s="4"/>
      <c r="DE1394" s="4"/>
      <c r="DF1394" s="4"/>
      <c r="DG1394" s="4"/>
      <c r="DH1394" s="4"/>
      <c r="DI1394" s="4"/>
      <c r="DJ1394" s="4"/>
      <c r="DK1394" s="4"/>
      <c r="DL1394" s="4"/>
      <c r="DM1394" s="4"/>
      <c r="DN1394" s="4"/>
      <c r="DO1394" s="4"/>
      <c r="DP1394" s="4"/>
      <c r="DQ1394" s="8"/>
      <c r="DR1394" s="8"/>
      <c r="DS1394" s="8"/>
      <c r="DT1394" s="8"/>
      <c r="DU1394" s="8"/>
      <c r="DV1394" s="8"/>
      <c r="DW1394" s="4"/>
      <c r="DX1394" s="4"/>
      <c r="DY1394" s="4"/>
    </row>
    <row r="1395" spans="1:149" hidden="1">
      <c r="A1395" s="11" t="s">
        <v>9940</v>
      </c>
      <c r="B1395" s="3" t="s">
        <v>8373</v>
      </c>
      <c r="C1395" s="3">
        <v>2000</v>
      </c>
      <c r="D1395" s="3" t="s">
        <v>8847</v>
      </c>
      <c r="E1395" s="3" t="s">
        <v>8848</v>
      </c>
      <c r="F1395" s="3">
        <v>1</v>
      </c>
      <c r="G1395" s="3"/>
      <c r="H1395" s="3" t="s">
        <v>8851</v>
      </c>
      <c r="I1395" s="3"/>
      <c r="J1395" s="3"/>
      <c r="K1395" s="3" t="s">
        <v>221</v>
      </c>
      <c r="L1395" s="4"/>
      <c r="M1395" s="3" t="s">
        <v>8414</v>
      </c>
      <c r="T1395" s="3" t="s">
        <v>8849</v>
      </c>
      <c r="V1395" s="3"/>
      <c r="W1395" s="3"/>
      <c r="X1395" s="5" t="s">
        <v>8850</v>
      </c>
      <c r="Y1395" s="5"/>
      <c r="Z1395" s="3">
        <v>1</v>
      </c>
      <c r="AA1395" s="4"/>
      <c r="AB1395" s="3"/>
      <c r="AE1395" s="3"/>
      <c r="AF1395" s="3"/>
      <c r="AG1395" s="4"/>
      <c r="AH1395" s="4"/>
      <c r="AI1395" s="4"/>
      <c r="AJ1395" s="4"/>
      <c r="AK1395" s="3"/>
      <c r="AL1395" s="3"/>
      <c r="AM1395" s="3"/>
      <c r="AN1395" s="3"/>
      <c r="AO1395" s="4"/>
      <c r="AP1395" s="3"/>
      <c r="AQ1395" s="4"/>
      <c r="AR1395" s="3"/>
      <c r="AS1395" s="3"/>
      <c r="AT1395" s="4"/>
      <c r="AU1395" s="3"/>
      <c r="AV1395" s="4"/>
      <c r="AW1395" s="4"/>
      <c r="AX1395" s="4"/>
      <c r="AY1395" s="4"/>
      <c r="AZ1395" s="4"/>
      <c r="BA1395" s="4"/>
      <c r="BB1395" s="4"/>
      <c r="BC1395" s="4"/>
      <c r="BD1395" s="4"/>
      <c r="BE1395" s="4"/>
      <c r="BF1395" s="3"/>
      <c r="BG1395" s="3"/>
      <c r="BH1395" s="3"/>
      <c r="BI1395" s="4"/>
      <c r="BJ1395" s="3"/>
      <c r="BK1395" s="4"/>
      <c r="BL1395" s="4"/>
      <c r="BM1395" s="3"/>
      <c r="BN1395" s="4"/>
      <c r="BO1395" s="4"/>
      <c r="BP1395" s="4"/>
      <c r="BQ1395" s="4"/>
      <c r="BR1395" s="4"/>
      <c r="BS1395" s="4"/>
      <c r="BT1395" s="4"/>
      <c r="BU1395" s="4"/>
      <c r="BV1395" s="4"/>
      <c r="BW1395" s="4"/>
      <c r="BX1395" s="4"/>
      <c r="BY1395" s="4"/>
      <c r="BZ1395" s="4"/>
      <c r="CA1395" s="4"/>
      <c r="CB1395" s="4"/>
      <c r="CC1395" s="4"/>
      <c r="CD1395" s="4"/>
      <c r="CE1395" s="4"/>
      <c r="CF1395" s="4"/>
      <c r="CG1395" s="4"/>
      <c r="CH1395" s="4"/>
      <c r="CI1395" s="4"/>
      <c r="CJ1395" s="4"/>
      <c r="CK1395" s="4"/>
      <c r="CL1395" s="4"/>
      <c r="CM1395" s="4"/>
      <c r="CN1395" s="4"/>
      <c r="CO1395" s="4"/>
      <c r="CP1395" s="4"/>
      <c r="CQ1395" s="4"/>
      <c r="CR1395" s="4"/>
      <c r="CS1395" s="4"/>
      <c r="CT1395" s="4"/>
      <c r="CU1395" s="4"/>
      <c r="CV1395" s="4"/>
      <c r="CW1395" s="4"/>
      <c r="CX1395" s="4"/>
      <c r="CY1395" s="4"/>
      <c r="CZ1395" s="4"/>
      <c r="DA1395" s="3"/>
      <c r="DB1395" s="3"/>
      <c r="DC1395" s="8"/>
      <c r="DD1395" s="4"/>
      <c r="DE1395" s="4"/>
      <c r="DF1395" s="4"/>
      <c r="DG1395" s="4"/>
      <c r="DH1395" s="8"/>
      <c r="DI1395" s="8"/>
      <c r="DJ1395" s="8"/>
      <c r="DK1395" s="8"/>
      <c r="DL1395" s="4"/>
      <c r="DM1395" s="4"/>
      <c r="DN1395" s="4"/>
      <c r="DO1395" s="4"/>
      <c r="DP1395" s="4"/>
      <c r="DQ1395" s="4"/>
      <c r="DR1395" s="4"/>
      <c r="DS1395" s="4"/>
      <c r="DT1395" s="4"/>
      <c r="DU1395" s="4"/>
      <c r="DV1395" s="4"/>
      <c r="DW1395" s="4"/>
      <c r="DX1395" s="4"/>
      <c r="DY1395" s="4"/>
      <c r="DZ1395" s="4"/>
      <c r="EA1395" s="4"/>
      <c r="EB1395" s="4"/>
      <c r="EC1395" s="4"/>
      <c r="ED1395" s="4"/>
      <c r="EE1395" s="4"/>
      <c r="EF1395" s="8"/>
      <c r="EG1395" s="8"/>
      <c r="EH1395" s="8"/>
      <c r="EI1395" s="8"/>
      <c r="EJ1395" s="8"/>
      <c r="EK1395" s="8"/>
      <c r="EL1395" s="4"/>
      <c r="EM1395" s="4"/>
      <c r="EN1395" s="4"/>
    </row>
    <row r="1396" spans="1:149" hidden="1">
      <c r="A1396" s="11" t="s">
        <v>9940</v>
      </c>
      <c r="B1396" s="3" t="s">
        <v>8373</v>
      </c>
      <c r="C1396" s="3">
        <v>2009</v>
      </c>
      <c r="D1396" s="3" t="s">
        <v>5360</v>
      </c>
      <c r="E1396" s="3" t="s">
        <v>8852</v>
      </c>
      <c r="F1396" s="3">
        <v>1</v>
      </c>
      <c r="G1396" s="3"/>
      <c r="H1396" s="3" t="s">
        <v>5365</v>
      </c>
      <c r="I1396" s="3"/>
      <c r="J1396" s="3"/>
      <c r="K1396" s="3" t="s">
        <v>5361</v>
      </c>
      <c r="L1396" s="4"/>
      <c r="M1396" s="3" t="s">
        <v>8814</v>
      </c>
      <c r="T1396" s="3" t="s">
        <v>5363</v>
      </c>
      <c r="V1396" s="3"/>
      <c r="W1396" s="4"/>
      <c r="X1396" s="5" t="s">
        <v>5366</v>
      </c>
      <c r="Y1396" s="5"/>
      <c r="Z1396" s="3">
        <v>1</v>
      </c>
      <c r="AA1396" s="4"/>
      <c r="AB1396" s="4"/>
      <c r="AE1396" s="3"/>
      <c r="AF1396" s="3"/>
      <c r="AG1396" s="4"/>
      <c r="AH1396" s="4"/>
      <c r="AI1396" s="4"/>
      <c r="AJ1396" s="4"/>
      <c r="AK1396" s="3"/>
      <c r="AL1396" s="3"/>
      <c r="AM1396" s="3"/>
      <c r="AN1396" s="3"/>
      <c r="AO1396" s="4"/>
      <c r="AP1396" s="3"/>
      <c r="AQ1396" s="4"/>
      <c r="AR1396" s="3"/>
      <c r="AS1396" s="3"/>
      <c r="AT1396" s="4"/>
      <c r="AU1396" s="3"/>
      <c r="AV1396" s="4"/>
      <c r="AW1396" s="4"/>
      <c r="AX1396" s="4"/>
      <c r="AY1396" s="4"/>
      <c r="AZ1396" s="4"/>
      <c r="BA1396" s="4"/>
      <c r="BB1396" s="4"/>
      <c r="BC1396" s="4"/>
      <c r="BD1396" s="4"/>
      <c r="BE1396" s="4"/>
      <c r="BF1396" s="3"/>
      <c r="BG1396" s="3"/>
      <c r="BH1396" s="3"/>
      <c r="BI1396" s="4"/>
      <c r="BJ1396" s="3"/>
      <c r="BK1396" s="4"/>
      <c r="BL1396" s="4"/>
      <c r="BM1396" s="3"/>
      <c r="BN1396" s="4"/>
      <c r="BO1396" s="4"/>
      <c r="BP1396" s="4"/>
      <c r="BQ1396" s="4"/>
      <c r="BR1396" s="4"/>
      <c r="BS1396" s="4"/>
      <c r="BT1396" s="4"/>
      <c r="BU1396" s="4"/>
      <c r="BV1396" s="4"/>
      <c r="BW1396" s="4"/>
      <c r="BX1396" s="4"/>
      <c r="BY1396" s="4"/>
      <c r="BZ1396" s="4"/>
      <c r="CA1396" s="4"/>
      <c r="CB1396" s="4"/>
      <c r="CC1396" s="4"/>
      <c r="CD1396" s="4"/>
      <c r="CE1396" s="4"/>
      <c r="CF1396" s="4"/>
      <c r="CG1396" s="4"/>
      <c r="CH1396" s="4"/>
      <c r="CI1396" s="4"/>
      <c r="CJ1396" s="4"/>
      <c r="CK1396" s="4"/>
      <c r="CL1396" s="4"/>
      <c r="CM1396" s="4"/>
      <c r="CN1396" s="4"/>
      <c r="CO1396" s="4"/>
      <c r="CP1396" s="4"/>
      <c r="CQ1396" s="4"/>
      <c r="CR1396" s="4"/>
      <c r="CS1396" s="4"/>
      <c r="CT1396" s="4"/>
      <c r="CU1396" s="4"/>
      <c r="CV1396" s="4"/>
      <c r="CW1396" s="4"/>
      <c r="CX1396" s="4"/>
      <c r="CY1396" s="4"/>
      <c r="CZ1396" s="4"/>
      <c r="DA1396" s="4"/>
      <c r="DB1396" s="4"/>
      <c r="DC1396" s="4"/>
      <c r="DD1396" s="4"/>
      <c r="DE1396" s="3"/>
      <c r="DF1396" s="3"/>
      <c r="DG1396" s="8"/>
      <c r="DH1396" s="4"/>
      <c r="DI1396" s="4"/>
      <c r="DJ1396" s="4"/>
      <c r="DK1396" s="4"/>
      <c r="DL1396" s="8"/>
      <c r="DM1396" s="8"/>
      <c r="DN1396" s="8"/>
      <c r="DO1396" s="8"/>
      <c r="DP1396" s="4"/>
      <c r="DQ1396" s="4"/>
      <c r="DR1396" s="4"/>
      <c r="DS1396" s="4"/>
      <c r="DT1396" s="4"/>
      <c r="DU1396" s="4"/>
      <c r="DV1396" s="4"/>
      <c r="DW1396" s="4"/>
      <c r="DX1396" s="4"/>
      <c r="DY1396" s="4"/>
      <c r="DZ1396" s="4"/>
      <c r="EA1396" s="4"/>
      <c r="EB1396" s="4"/>
      <c r="EC1396" s="4"/>
      <c r="ED1396" s="4"/>
      <c r="EE1396" s="4"/>
      <c r="EF1396" s="4"/>
      <c r="EG1396" s="4"/>
      <c r="EH1396" s="4"/>
      <c r="EI1396" s="4"/>
      <c r="EJ1396" s="8"/>
      <c r="EK1396" s="8"/>
      <c r="EL1396" s="8"/>
      <c r="EM1396" s="8"/>
      <c r="EN1396" s="8"/>
      <c r="EO1396" s="8"/>
      <c r="EP1396" s="4"/>
      <c r="EQ1396" s="4"/>
      <c r="ER1396" s="4"/>
    </row>
    <row r="1397" spans="1:149" hidden="1">
      <c r="A1397" s="11" t="s">
        <v>9940</v>
      </c>
      <c r="B1397" s="3" t="s">
        <v>8373</v>
      </c>
      <c r="C1397" s="3">
        <v>2013</v>
      </c>
      <c r="D1397" s="3" t="s">
        <v>9542</v>
      </c>
      <c r="E1397" s="3" t="s">
        <v>9543</v>
      </c>
      <c r="F1397" s="3">
        <v>0</v>
      </c>
      <c r="G1397" s="3" t="s">
        <v>9249</v>
      </c>
      <c r="H1397" s="3" t="s">
        <v>9546</v>
      </c>
      <c r="I1397" s="3"/>
      <c r="J1397" s="3"/>
      <c r="K1397" s="3" t="s">
        <v>40</v>
      </c>
      <c r="L1397" s="4"/>
      <c r="M1397" s="3" t="s">
        <v>8500</v>
      </c>
      <c r="T1397" s="3" t="s">
        <v>9544</v>
      </c>
      <c r="V1397" s="4"/>
      <c r="W1397" s="4"/>
      <c r="X1397" s="5" t="s">
        <v>9545</v>
      </c>
      <c r="Y1397" s="5"/>
      <c r="Z1397" s="4"/>
      <c r="AA1397" s="4"/>
      <c r="AB1397" s="4"/>
      <c r="AE1397" s="4"/>
      <c r="AF1397" s="4"/>
      <c r="AG1397" s="3"/>
      <c r="AH1397" s="3"/>
      <c r="AI1397" s="3"/>
      <c r="AJ1397" s="3"/>
      <c r="AK1397" s="4"/>
      <c r="AL1397" s="3"/>
      <c r="AM1397" s="4"/>
      <c r="AN1397" s="3"/>
      <c r="AO1397" s="3"/>
      <c r="AP1397" s="4"/>
      <c r="AQ1397" s="3"/>
      <c r="AR1397" s="4"/>
      <c r="AS1397" s="4"/>
      <c r="AT1397" s="4"/>
      <c r="AU1397" s="4"/>
      <c r="AV1397" s="4"/>
      <c r="AW1397" s="4"/>
      <c r="AX1397" s="4"/>
      <c r="AY1397" s="4"/>
      <c r="AZ1397" s="4"/>
      <c r="BA1397" s="4"/>
      <c r="BB1397" s="3"/>
      <c r="BC1397" s="3"/>
      <c r="BD1397" s="3"/>
      <c r="BE1397" s="4"/>
      <c r="BF1397" s="3"/>
      <c r="BG1397" s="4"/>
      <c r="BH1397" s="4"/>
      <c r="BI1397" s="4"/>
      <c r="BJ1397" s="3"/>
      <c r="BK1397" s="4"/>
      <c r="BL1397" s="4"/>
      <c r="BM1397" s="4"/>
      <c r="BN1397" s="4"/>
      <c r="BO1397" s="4"/>
      <c r="BP1397" s="4"/>
      <c r="BQ1397" s="4"/>
      <c r="BR1397" s="4"/>
      <c r="BS1397" s="4"/>
      <c r="BT1397" s="4"/>
      <c r="BU1397" s="4"/>
      <c r="BV1397" s="4"/>
      <c r="BW1397" s="4"/>
      <c r="BX1397" s="4"/>
      <c r="BY1397" s="4"/>
      <c r="BZ1397" s="4"/>
      <c r="CA1397" s="4"/>
      <c r="CB1397" s="4"/>
      <c r="CC1397" s="4"/>
      <c r="CD1397" s="4"/>
      <c r="CE1397" s="4"/>
      <c r="CF1397" s="4"/>
      <c r="CG1397" s="4"/>
      <c r="CH1397" s="3"/>
      <c r="CI1397" s="3"/>
      <c r="CJ1397" s="4"/>
      <c r="CK1397" s="4"/>
      <c r="CL1397" s="4"/>
      <c r="CM1397" s="4"/>
      <c r="CN1397" s="4"/>
      <c r="CO1397" s="4"/>
      <c r="CP1397" s="4"/>
      <c r="CQ1397" s="4"/>
      <c r="CR1397" s="4"/>
      <c r="CS1397" s="4"/>
      <c r="CT1397" s="4"/>
      <c r="CU1397" s="4"/>
      <c r="CV1397" s="4"/>
      <c r="CW1397" s="4"/>
      <c r="CX1397" s="4"/>
      <c r="CY1397" s="4"/>
      <c r="CZ1397" s="4"/>
      <c r="DA1397" s="4"/>
      <c r="DB1397" s="4"/>
      <c r="DC1397" s="4"/>
      <c r="DD1397" s="4"/>
      <c r="DE1397" s="4"/>
      <c r="DF1397" s="4"/>
      <c r="DG1397" s="4"/>
      <c r="DH1397" s="4"/>
      <c r="DI1397" s="4"/>
      <c r="DJ1397" s="4"/>
      <c r="DK1397" s="4"/>
      <c r="DL1397" s="4"/>
      <c r="DM1397" s="4"/>
      <c r="DN1397" s="4"/>
      <c r="DO1397" s="4"/>
      <c r="DP1397" s="4"/>
      <c r="DQ1397" s="4"/>
      <c r="DR1397" s="4"/>
      <c r="DS1397" s="4"/>
      <c r="DT1397" s="4"/>
      <c r="DU1397" s="4"/>
    </row>
    <row r="1398" spans="1:149" hidden="1">
      <c r="A1398" s="11" t="s">
        <v>9940</v>
      </c>
      <c r="B1398" s="3" t="s">
        <v>8373</v>
      </c>
      <c r="C1398" s="3">
        <v>1994</v>
      </c>
      <c r="D1398" s="3" t="s">
        <v>8853</v>
      </c>
      <c r="E1398" s="3" t="s">
        <v>8854</v>
      </c>
      <c r="F1398" s="3">
        <v>1</v>
      </c>
      <c r="G1398" s="3"/>
      <c r="H1398" s="3" t="s">
        <v>8859</v>
      </c>
      <c r="I1398" s="3"/>
      <c r="J1398" s="3"/>
      <c r="K1398" s="3" t="s">
        <v>8855</v>
      </c>
      <c r="L1398" s="4"/>
      <c r="M1398" s="3" t="s">
        <v>8856</v>
      </c>
      <c r="T1398" s="3" t="s">
        <v>8857</v>
      </c>
      <c r="V1398" s="3"/>
      <c r="W1398" s="4"/>
      <c r="X1398" s="5" t="s">
        <v>8858</v>
      </c>
      <c r="Y1398" s="5"/>
      <c r="Z1398" s="3">
        <v>1</v>
      </c>
      <c r="AA1398" s="4"/>
      <c r="AB1398" s="4"/>
      <c r="AE1398" s="3"/>
      <c r="AF1398" s="3"/>
      <c r="AG1398" s="4"/>
      <c r="AH1398" s="4"/>
      <c r="AI1398" s="4"/>
      <c r="AJ1398" s="4"/>
      <c r="AK1398" s="3"/>
      <c r="AL1398" s="3"/>
      <c r="AM1398" s="3"/>
      <c r="AN1398" s="3"/>
      <c r="AO1398" s="4"/>
      <c r="AP1398" s="3"/>
      <c r="AQ1398" s="4"/>
      <c r="AR1398" s="3"/>
      <c r="AS1398" s="3"/>
      <c r="AT1398" s="4"/>
      <c r="AU1398" s="3"/>
      <c r="AV1398" s="4"/>
      <c r="AW1398" s="3"/>
      <c r="AX1398" s="4"/>
      <c r="AY1398" s="4"/>
      <c r="AZ1398" s="4"/>
      <c r="BA1398" s="4"/>
      <c r="BB1398" s="4"/>
      <c r="BC1398" s="4"/>
      <c r="BD1398" s="4"/>
      <c r="BE1398" s="3"/>
      <c r="BF1398" s="3"/>
      <c r="BG1398" s="3"/>
      <c r="BH1398" s="4"/>
      <c r="BI1398" s="3"/>
      <c r="BJ1398" s="4"/>
      <c r="BK1398" s="4"/>
      <c r="BL1398" s="3"/>
      <c r="BM1398" s="4"/>
      <c r="BN1398" s="4"/>
      <c r="BO1398" s="4"/>
      <c r="BP1398" s="4"/>
      <c r="BQ1398" s="4"/>
      <c r="BR1398" s="4"/>
      <c r="BS1398" s="4"/>
      <c r="BT1398" s="4"/>
      <c r="BU1398" s="4"/>
      <c r="BV1398" s="4"/>
      <c r="BW1398" s="4"/>
      <c r="BX1398" s="4"/>
      <c r="BY1398" s="4"/>
      <c r="BZ1398" s="4"/>
      <c r="CA1398" s="4"/>
      <c r="CB1398" s="4"/>
      <c r="CC1398" s="4"/>
      <c r="CD1398" s="4"/>
      <c r="CE1398" s="4"/>
      <c r="CF1398" s="4"/>
      <c r="CG1398" s="4"/>
      <c r="CH1398" s="4"/>
      <c r="CI1398" s="4"/>
      <c r="CJ1398" s="4"/>
      <c r="CK1398" s="4"/>
      <c r="CL1398" s="4"/>
      <c r="CM1398" s="4"/>
      <c r="CN1398" s="4"/>
      <c r="CO1398" s="4"/>
      <c r="CP1398" s="4"/>
      <c r="CQ1398" s="4"/>
      <c r="CR1398" s="4"/>
      <c r="CS1398" s="4"/>
      <c r="CT1398" s="4"/>
      <c r="CU1398" s="4"/>
      <c r="CV1398" s="4"/>
      <c r="CW1398" s="4"/>
      <c r="CX1398" s="4"/>
      <c r="CY1398" s="4"/>
      <c r="CZ1398" s="4"/>
      <c r="DA1398" s="3"/>
      <c r="DB1398" s="3"/>
      <c r="DC1398" s="8"/>
      <c r="DD1398" s="4"/>
      <c r="DE1398" s="4"/>
      <c r="DF1398" s="4"/>
      <c r="DG1398" s="4"/>
      <c r="DH1398" s="8"/>
      <c r="DI1398" s="8"/>
      <c r="DJ1398" s="8"/>
      <c r="DK1398" s="8"/>
      <c r="DL1398" s="4"/>
      <c r="DM1398" s="4"/>
      <c r="DN1398" s="4"/>
      <c r="DO1398" s="4"/>
      <c r="DP1398" s="4"/>
      <c r="DQ1398" s="4"/>
      <c r="DR1398" s="4"/>
      <c r="DS1398" s="4"/>
      <c r="DT1398" s="4"/>
      <c r="DU1398" s="4"/>
      <c r="DV1398" s="4"/>
      <c r="DW1398" s="4"/>
      <c r="DX1398" s="4"/>
      <c r="DY1398" s="4"/>
      <c r="DZ1398" s="4"/>
      <c r="EA1398" s="4"/>
      <c r="EB1398" s="4"/>
      <c r="EC1398" s="4"/>
      <c r="ED1398" s="4"/>
      <c r="EE1398" s="4"/>
      <c r="EF1398" s="8"/>
      <c r="EG1398" s="8"/>
      <c r="EH1398" s="8"/>
      <c r="EI1398" s="8"/>
      <c r="EJ1398" s="8"/>
      <c r="EK1398" s="8"/>
      <c r="EL1398" s="4"/>
      <c r="EM1398" s="4"/>
      <c r="EN1398" s="4"/>
    </row>
    <row r="1399" spans="1:149" hidden="1">
      <c r="A1399" s="11" t="s">
        <v>9940</v>
      </c>
      <c r="B1399" s="3" t="s">
        <v>8373</v>
      </c>
      <c r="C1399" s="3">
        <v>2001</v>
      </c>
      <c r="D1399" s="3" t="s">
        <v>4875</v>
      </c>
      <c r="E1399" s="3" t="s">
        <v>8860</v>
      </c>
      <c r="F1399" s="3">
        <v>1</v>
      </c>
      <c r="G1399" s="3"/>
      <c r="H1399" s="3" t="s">
        <v>8863</v>
      </c>
      <c r="I1399" s="3"/>
      <c r="J1399" s="3"/>
      <c r="K1399" s="3" t="s">
        <v>485</v>
      </c>
      <c r="L1399" s="4"/>
      <c r="M1399" s="3" t="s">
        <v>8697</v>
      </c>
      <c r="T1399" s="3" t="s">
        <v>8861</v>
      </c>
      <c r="V1399" s="3"/>
      <c r="W1399" s="4"/>
      <c r="X1399" s="5" t="s">
        <v>8862</v>
      </c>
      <c r="Y1399" s="5"/>
      <c r="Z1399" s="3">
        <v>1</v>
      </c>
      <c r="AA1399" s="4"/>
      <c r="AB1399" s="4"/>
      <c r="AE1399" s="3"/>
      <c r="AF1399" s="3"/>
      <c r="AG1399" s="4"/>
      <c r="AH1399" s="4"/>
      <c r="AI1399" s="4"/>
      <c r="AJ1399" s="4"/>
      <c r="AK1399" s="3"/>
      <c r="AL1399" s="3"/>
      <c r="AM1399" s="3"/>
      <c r="AN1399" s="3"/>
      <c r="AO1399" s="4"/>
      <c r="AP1399" s="3"/>
      <c r="AQ1399" s="4"/>
      <c r="AR1399" s="3"/>
      <c r="AS1399" s="3"/>
      <c r="AT1399" s="4"/>
      <c r="AU1399" s="3"/>
      <c r="AV1399" s="4"/>
      <c r="AW1399" s="4"/>
      <c r="AX1399" s="4"/>
      <c r="AY1399" s="4"/>
      <c r="AZ1399" s="4"/>
      <c r="BA1399" s="4"/>
      <c r="BB1399" s="4"/>
      <c r="BC1399" s="4"/>
      <c r="BD1399" s="4"/>
      <c r="BE1399" s="4"/>
      <c r="BF1399" s="3"/>
      <c r="BG1399" s="3"/>
      <c r="BH1399" s="3"/>
      <c r="BI1399" s="4"/>
      <c r="BJ1399" s="3"/>
      <c r="BK1399" s="4"/>
      <c r="BL1399" s="4"/>
      <c r="BM1399" s="4"/>
      <c r="BN1399" s="3"/>
      <c r="BO1399" s="4"/>
      <c r="BP1399" s="4"/>
      <c r="BQ1399" s="4"/>
      <c r="BR1399" s="4"/>
      <c r="BS1399" s="4"/>
      <c r="BT1399" s="4"/>
      <c r="BU1399" s="4"/>
      <c r="BV1399" s="4"/>
      <c r="BW1399" s="4"/>
      <c r="BX1399" s="4"/>
      <c r="BY1399" s="4"/>
      <c r="BZ1399" s="4"/>
      <c r="CA1399" s="4"/>
      <c r="CB1399" s="4"/>
      <c r="CC1399" s="4"/>
      <c r="CD1399" s="4"/>
      <c r="CE1399" s="4"/>
      <c r="CF1399" s="4"/>
      <c r="CG1399" s="4"/>
      <c r="CH1399" s="4"/>
      <c r="CI1399" s="4"/>
      <c r="CJ1399" s="4"/>
      <c r="CK1399" s="4"/>
      <c r="CL1399" s="4"/>
      <c r="CM1399" s="4"/>
      <c r="CN1399" s="4"/>
      <c r="CO1399" s="4"/>
      <c r="CP1399" s="4"/>
      <c r="CQ1399" s="4"/>
      <c r="CR1399" s="4"/>
      <c r="CS1399" s="4"/>
      <c r="CT1399" s="4"/>
      <c r="CU1399" s="4"/>
      <c r="CV1399" s="4"/>
      <c r="CW1399" s="4"/>
      <c r="CX1399" s="4"/>
      <c r="CY1399" s="4"/>
      <c r="CZ1399" s="4"/>
      <c r="DA1399" s="4"/>
      <c r="DB1399" s="4"/>
      <c r="DC1399" s="4"/>
      <c r="DD1399" s="4"/>
      <c r="DE1399" s="4"/>
      <c r="DF1399" s="3"/>
      <c r="DG1399" s="3"/>
      <c r="DH1399" s="8"/>
      <c r="DI1399" s="4"/>
      <c r="DJ1399" s="4"/>
      <c r="DK1399" s="4"/>
      <c r="DL1399" s="4"/>
      <c r="DM1399" s="8"/>
      <c r="DN1399" s="8"/>
      <c r="DO1399" s="8"/>
      <c r="DP1399" s="8"/>
      <c r="DQ1399" s="4"/>
      <c r="DR1399" s="4"/>
      <c r="DS1399" s="4"/>
      <c r="DT1399" s="4"/>
      <c r="DU1399" s="4"/>
      <c r="DV1399" s="4"/>
      <c r="DW1399" s="4"/>
      <c r="DX1399" s="4"/>
      <c r="DY1399" s="4"/>
      <c r="DZ1399" s="4"/>
      <c r="EA1399" s="4"/>
      <c r="EB1399" s="4"/>
      <c r="EC1399" s="4"/>
      <c r="ED1399" s="4"/>
      <c r="EE1399" s="4"/>
      <c r="EF1399" s="4"/>
      <c r="EG1399" s="4"/>
      <c r="EH1399" s="4"/>
      <c r="EI1399" s="4"/>
      <c r="EJ1399" s="4"/>
      <c r="EK1399" s="8"/>
      <c r="EL1399" s="8"/>
      <c r="EM1399" s="8"/>
      <c r="EN1399" s="8"/>
      <c r="EO1399" s="8"/>
      <c r="EP1399" s="8"/>
      <c r="EQ1399" s="4"/>
      <c r="ER1399" s="4"/>
      <c r="ES1399" s="4"/>
    </row>
    <row r="1400" spans="1:149" hidden="1">
      <c r="A1400" s="11" t="s">
        <v>9940</v>
      </c>
      <c r="B1400" s="3" t="s">
        <v>8373</v>
      </c>
      <c r="C1400" s="3">
        <v>2006</v>
      </c>
      <c r="D1400" s="3" t="s">
        <v>8231</v>
      </c>
      <c r="E1400" s="3" t="s">
        <v>9547</v>
      </c>
      <c r="F1400" s="3">
        <v>0</v>
      </c>
      <c r="G1400" s="3" t="s">
        <v>9249</v>
      </c>
      <c r="H1400" s="3" t="s">
        <v>8235</v>
      </c>
      <c r="I1400" s="3"/>
      <c r="J1400" s="3"/>
      <c r="K1400" s="3" t="s">
        <v>3139</v>
      </c>
      <c r="L1400" s="4"/>
      <c r="M1400" s="3" t="s">
        <v>9297</v>
      </c>
      <c r="T1400" s="3" t="s">
        <v>8233</v>
      </c>
      <c r="V1400" s="4"/>
      <c r="W1400" s="4"/>
      <c r="X1400" s="5" t="s">
        <v>8236</v>
      </c>
      <c r="Y1400" s="5"/>
      <c r="Z1400" s="4"/>
      <c r="AA1400" s="4"/>
      <c r="AB1400" s="4"/>
      <c r="AE1400" s="4"/>
      <c r="AF1400" s="4"/>
      <c r="AG1400" s="3"/>
      <c r="AH1400" s="3"/>
      <c r="AI1400" s="3"/>
      <c r="AJ1400" s="3"/>
      <c r="AK1400" s="4"/>
      <c r="AL1400" s="3"/>
      <c r="AM1400" s="4"/>
      <c r="AN1400" s="3"/>
      <c r="AO1400" s="3"/>
      <c r="AP1400" s="4"/>
      <c r="AQ1400" s="3"/>
      <c r="AR1400" s="4"/>
      <c r="AS1400" s="4"/>
      <c r="AT1400" s="4"/>
      <c r="AU1400" s="4"/>
      <c r="AV1400" s="4"/>
      <c r="AW1400" s="4"/>
      <c r="AX1400" s="4"/>
      <c r="AY1400" s="4"/>
      <c r="AZ1400" s="4"/>
      <c r="BA1400" s="4"/>
      <c r="BB1400" s="3"/>
      <c r="BC1400" s="3"/>
      <c r="BD1400" s="3"/>
      <c r="BE1400" s="4"/>
      <c r="BF1400" s="3"/>
      <c r="BG1400" s="4"/>
      <c r="BH1400" s="4"/>
      <c r="BI1400" s="3"/>
      <c r="BJ1400" s="4"/>
      <c r="BK1400" s="4"/>
      <c r="BL1400" s="4"/>
      <c r="BM1400" s="4"/>
      <c r="BN1400" s="4"/>
      <c r="BO1400" s="4"/>
      <c r="BP1400" s="4"/>
      <c r="BQ1400" s="4"/>
      <c r="BR1400" s="4"/>
      <c r="BS1400" s="4"/>
      <c r="BT1400" s="4"/>
      <c r="BU1400" s="4"/>
      <c r="BV1400" s="4"/>
      <c r="BW1400" s="4"/>
      <c r="BX1400" s="4"/>
      <c r="BY1400" s="4"/>
      <c r="BZ1400" s="4"/>
      <c r="CA1400" s="4"/>
      <c r="CB1400" s="4"/>
      <c r="CC1400" s="4"/>
      <c r="CD1400" s="4"/>
      <c r="CE1400" s="4"/>
      <c r="CF1400" s="4"/>
      <c r="CG1400" s="4"/>
      <c r="CH1400" s="4"/>
      <c r="CI1400" s="4"/>
      <c r="CJ1400" s="4"/>
      <c r="CK1400" s="4"/>
      <c r="CL1400" s="4"/>
      <c r="CM1400" s="4"/>
      <c r="CN1400" s="4"/>
      <c r="CO1400" s="4"/>
      <c r="CP1400" s="4"/>
      <c r="CQ1400" s="4"/>
      <c r="CR1400" s="4"/>
      <c r="CS1400" s="4"/>
      <c r="CT1400" s="4"/>
      <c r="CU1400" s="4"/>
      <c r="CV1400" s="3"/>
      <c r="CW1400" s="3"/>
      <c r="CX1400" s="4"/>
      <c r="CY1400" s="4"/>
      <c r="CZ1400" s="4"/>
      <c r="DA1400" s="4"/>
      <c r="DB1400" s="4"/>
      <c r="DC1400" s="4"/>
      <c r="DD1400" s="4"/>
      <c r="DE1400" s="4"/>
      <c r="DF1400" s="4"/>
      <c r="DG1400" s="4"/>
      <c r="DH1400" s="4"/>
      <c r="DI1400" s="4"/>
      <c r="DJ1400" s="4"/>
      <c r="DK1400" s="4"/>
      <c r="DL1400" s="4"/>
      <c r="DM1400" s="4"/>
      <c r="DN1400" s="4"/>
      <c r="DO1400" s="4"/>
      <c r="DP1400" s="4"/>
      <c r="DQ1400" s="4"/>
      <c r="DR1400" s="4"/>
      <c r="DS1400" s="4"/>
      <c r="DT1400" s="4"/>
      <c r="DU1400" s="4"/>
      <c r="DV1400" s="4"/>
      <c r="DW1400" s="4"/>
      <c r="DX1400" s="4"/>
      <c r="DY1400" s="4"/>
      <c r="DZ1400" s="4"/>
      <c r="EA1400" s="4"/>
      <c r="EB1400" s="4"/>
      <c r="EC1400" s="4"/>
      <c r="ED1400" s="4"/>
      <c r="EE1400" s="4"/>
      <c r="EF1400" s="4"/>
      <c r="EG1400" s="4"/>
      <c r="EH1400" s="4"/>
      <c r="EI1400" s="4"/>
    </row>
    <row r="1401" spans="1:149" hidden="1">
      <c r="A1401" s="11" t="s">
        <v>9940</v>
      </c>
      <c r="B1401" s="3" t="s">
        <v>8379</v>
      </c>
      <c r="C1401" s="3">
        <v>2011</v>
      </c>
      <c r="D1401" s="3" t="s">
        <v>4079</v>
      </c>
      <c r="E1401" s="3" t="s">
        <v>8864</v>
      </c>
      <c r="F1401" s="3">
        <v>1</v>
      </c>
      <c r="G1401" s="4"/>
      <c r="H1401" s="3" t="s">
        <v>4082</v>
      </c>
      <c r="I1401" s="3"/>
      <c r="J1401" s="3"/>
      <c r="K1401" s="4"/>
      <c r="L1401" s="4"/>
      <c r="M1401" s="4"/>
      <c r="T1401" s="4"/>
      <c r="V1401" s="3"/>
      <c r="W1401" s="4"/>
      <c r="X1401" s="5" t="s">
        <v>4083</v>
      </c>
      <c r="Y1401" s="5"/>
      <c r="Z1401" s="3">
        <v>1</v>
      </c>
      <c r="AA1401" s="4"/>
      <c r="AB1401" s="4"/>
      <c r="AE1401" s="3"/>
      <c r="AF1401" s="3"/>
      <c r="AG1401" s="3"/>
      <c r="AH1401" s="4"/>
      <c r="AI1401" s="4"/>
      <c r="AJ1401" s="4"/>
      <c r="AK1401" s="3"/>
      <c r="AL1401" s="3"/>
      <c r="AM1401" s="3"/>
      <c r="AN1401" s="3"/>
      <c r="AO1401" s="4"/>
      <c r="AP1401" s="4"/>
      <c r="AQ1401" s="3"/>
      <c r="AR1401" s="4"/>
      <c r="AS1401" s="4"/>
      <c r="AT1401" s="4"/>
      <c r="AU1401" s="4"/>
      <c r="AV1401" s="4"/>
      <c r="AW1401" s="4"/>
      <c r="AX1401" s="4"/>
      <c r="AY1401" s="4"/>
      <c r="AZ1401" s="4"/>
      <c r="BA1401" s="3"/>
      <c r="BB1401" s="4"/>
      <c r="BC1401" s="3"/>
      <c r="BD1401" s="3"/>
      <c r="BE1401" s="3"/>
      <c r="BF1401" s="4"/>
      <c r="BG1401" s="3"/>
      <c r="BH1401" s="3"/>
      <c r="BI1401" s="4"/>
      <c r="BJ1401" s="4"/>
      <c r="BK1401" s="4"/>
      <c r="BL1401" s="4"/>
      <c r="BM1401" s="4"/>
      <c r="BN1401" s="4"/>
      <c r="BO1401" s="4"/>
      <c r="BP1401" s="4"/>
      <c r="BQ1401" s="4"/>
      <c r="BR1401" s="4"/>
      <c r="BS1401" s="4"/>
      <c r="BT1401" s="4"/>
      <c r="BU1401" s="4"/>
      <c r="BV1401" s="4"/>
      <c r="BW1401" s="4"/>
      <c r="BX1401" s="4"/>
      <c r="BY1401" s="4"/>
      <c r="BZ1401" s="4"/>
      <c r="CA1401" s="4"/>
      <c r="CB1401" s="4"/>
      <c r="CC1401" s="4"/>
      <c r="CD1401" s="4"/>
      <c r="CE1401" s="4"/>
      <c r="CF1401" s="4"/>
      <c r="CG1401" s="4"/>
      <c r="CH1401" s="4"/>
      <c r="CI1401" s="4"/>
      <c r="CJ1401" s="4"/>
      <c r="CK1401" s="4"/>
      <c r="CL1401" s="4"/>
      <c r="CM1401" s="4"/>
      <c r="CN1401" s="4"/>
      <c r="CO1401" s="4"/>
      <c r="CP1401" s="4"/>
      <c r="CQ1401" s="4"/>
      <c r="CR1401" s="4"/>
      <c r="CS1401" s="4"/>
      <c r="CT1401" s="4"/>
      <c r="CU1401" s="4"/>
      <c r="CV1401" s="4"/>
      <c r="CW1401" s="4"/>
      <c r="CX1401" s="3"/>
      <c r="CY1401" s="3"/>
      <c r="CZ1401" s="8"/>
      <c r="DA1401" s="4"/>
      <c r="DB1401" s="4"/>
      <c r="DC1401" s="4"/>
      <c r="DD1401" s="4"/>
      <c r="DE1401" s="8"/>
      <c r="DF1401" s="8"/>
      <c r="DG1401" s="8"/>
      <c r="DH1401" s="8"/>
      <c r="DI1401" s="4"/>
      <c r="DJ1401" s="4"/>
      <c r="DK1401" s="4"/>
      <c r="DL1401" s="4"/>
      <c r="DM1401" s="4"/>
      <c r="DN1401" s="4"/>
      <c r="DO1401" s="4"/>
      <c r="DP1401" s="4"/>
      <c r="DQ1401" s="4"/>
      <c r="DR1401" s="4"/>
      <c r="DS1401" s="4"/>
      <c r="DT1401" s="4"/>
      <c r="DU1401" s="4"/>
      <c r="DV1401" s="4"/>
      <c r="DW1401" s="4"/>
      <c r="DX1401" s="4"/>
      <c r="DY1401" s="4"/>
      <c r="DZ1401" s="4"/>
      <c r="EA1401" s="4"/>
      <c r="EB1401" s="4"/>
      <c r="EC1401" s="8"/>
      <c r="ED1401" s="8"/>
      <c r="EE1401" s="8"/>
      <c r="EF1401" s="8"/>
      <c r="EG1401" s="8"/>
      <c r="EH1401" s="8"/>
      <c r="EI1401" s="4"/>
      <c r="EJ1401" s="4"/>
      <c r="EK1401" s="4"/>
    </row>
    <row r="1402" spans="1:149" hidden="1">
      <c r="A1402" s="11" t="s">
        <v>9940</v>
      </c>
      <c r="B1402" s="3" t="s">
        <v>8379</v>
      </c>
      <c r="C1402" s="3">
        <v>2011</v>
      </c>
      <c r="D1402" s="3" t="s">
        <v>1443</v>
      </c>
      <c r="E1402" s="6" t="s">
        <v>9548</v>
      </c>
      <c r="F1402" s="3">
        <v>1</v>
      </c>
      <c r="G1402" s="4"/>
      <c r="H1402" s="3" t="s">
        <v>9549</v>
      </c>
      <c r="I1402" s="3"/>
      <c r="J1402" s="3"/>
      <c r="K1402" s="4"/>
      <c r="L1402" s="4"/>
      <c r="M1402" s="4"/>
      <c r="T1402" s="4"/>
      <c r="V1402" s="3"/>
      <c r="W1402" s="3"/>
      <c r="X1402" s="5" t="s">
        <v>1447</v>
      </c>
      <c r="Y1402" s="5"/>
      <c r="Z1402" s="3">
        <v>0</v>
      </c>
      <c r="AA1402" s="3" t="s">
        <v>9178</v>
      </c>
      <c r="AB1402" s="4"/>
      <c r="AE1402" s="3"/>
      <c r="AF1402" s="3"/>
      <c r="AG1402" s="3"/>
      <c r="AH1402" s="4"/>
      <c r="AI1402" s="4"/>
      <c r="AJ1402" s="4"/>
      <c r="AK1402" s="3"/>
      <c r="AL1402" s="3"/>
      <c r="AM1402" s="3"/>
      <c r="AN1402" s="3"/>
      <c r="AO1402" s="4"/>
      <c r="AP1402" s="4"/>
      <c r="AQ1402" s="3"/>
      <c r="AR1402" s="4"/>
      <c r="AS1402" s="4"/>
      <c r="AT1402" s="4"/>
      <c r="AU1402" s="4"/>
      <c r="AV1402" s="4"/>
      <c r="AW1402" s="4"/>
      <c r="AX1402" s="4"/>
      <c r="AY1402" s="4"/>
      <c r="AZ1402" s="4"/>
      <c r="BA1402" s="3"/>
      <c r="BB1402" s="4"/>
      <c r="BC1402" s="3"/>
      <c r="BD1402" s="3"/>
      <c r="BE1402" s="3"/>
      <c r="BF1402" s="4"/>
      <c r="BG1402" s="3"/>
      <c r="BH1402" s="3"/>
      <c r="BI1402" s="4"/>
      <c r="BJ1402" s="4"/>
      <c r="BK1402" s="4"/>
      <c r="BL1402" s="4"/>
      <c r="BM1402" s="4"/>
      <c r="BN1402" s="4"/>
      <c r="BO1402" s="4"/>
      <c r="BP1402" s="4"/>
      <c r="BQ1402" s="4"/>
      <c r="BR1402" s="4"/>
      <c r="BS1402" s="4"/>
      <c r="BT1402" s="4"/>
      <c r="BU1402" s="4"/>
      <c r="BV1402" s="4"/>
      <c r="BW1402" s="4"/>
      <c r="BX1402" s="4"/>
      <c r="BY1402" s="4"/>
      <c r="BZ1402" s="4"/>
      <c r="CA1402" s="4"/>
      <c r="CB1402" s="4"/>
      <c r="CC1402" s="4"/>
      <c r="CD1402" s="4"/>
      <c r="CE1402" s="4"/>
      <c r="CF1402" s="4"/>
      <c r="CG1402" s="4"/>
      <c r="CH1402" s="4"/>
      <c r="CI1402" s="4"/>
      <c r="CJ1402" s="4"/>
      <c r="CK1402" s="4"/>
      <c r="CL1402" s="4"/>
      <c r="CM1402" s="4"/>
      <c r="CN1402" s="4"/>
      <c r="CO1402" s="4"/>
      <c r="CP1402" s="4"/>
      <c r="CQ1402" s="4"/>
      <c r="CR1402" s="4"/>
      <c r="CS1402" s="4"/>
      <c r="CT1402" s="4"/>
      <c r="CU1402" s="4"/>
      <c r="CV1402" s="4"/>
      <c r="CW1402" s="4"/>
      <c r="CX1402" s="4"/>
      <c r="CY1402" s="3"/>
      <c r="CZ1402" s="3"/>
      <c r="DA1402" s="3"/>
      <c r="DB1402" s="4"/>
      <c r="DC1402" s="4"/>
      <c r="DD1402" s="4"/>
      <c r="DE1402" s="4"/>
      <c r="DF1402" s="3"/>
      <c r="DG1402" s="3"/>
      <c r="DH1402" s="3"/>
      <c r="DI1402" s="3"/>
      <c r="DJ1402" s="4"/>
      <c r="DK1402" s="4"/>
      <c r="DL1402" s="4"/>
      <c r="DM1402" s="4"/>
      <c r="DN1402" s="4"/>
      <c r="DO1402" s="4"/>
      <c r="DP1402" s="4"/>
      <c r="DQ1402" s="4"/>
      <c r="DR1402" s="4"/>
      <c r="DS1402" s="4"/>
      <c r="DT1402" s="4"/>
      <c r="DU1402" s="4"/>
      <c r="DV1402" s="4"/>
      <c r="DW1402" s="4"/>
      <c r="DX1402" s="4"/>
      <c r="DY1402" s="4"/>
      <c r="DZ1402" s="4"/>
      <c r="EA1402" s="4"/>
      <c r="EB1402" s="4"/>
      <c r="EC1402" s="4"/>
      <c r="ED1402" s="3"/>
      <c r="EE1402" s="3"/>
      <c r="EF1402" s="3"/>
      <c r="EG1402" s="3"/>
      <c r="EH1402" s="3"/>
      <c r="EI1402" s="3"/>
      <c r="EJ1402" s="4"/>
      <c r="EK1402" s="4"/>
      <c r="EL1402" s="3"/>
    </row>
    <row r="1403" spans="1:149" hidden="1">
      <c r="A1403" s="11" t="s">
        <v>9940</v>
      </c>
      <c r="B1403" s="3" t="s">
        <v>8373</v>
      </c>
      <c r="C1403" s="3">
        <v>2008</v>
      </c>
      <c r="D1403" s="3" t="s">
        <v>8238</v>
      </c>
      <c r="E1403" s="3" t="s">
        <v>9550</v>
      </c>
      <c r="F1403" s="3">
        <v>1</v>
      </c>
      <c r="G1403" s="3"/>
      <c r="H1403" s="3" t="s">
        <v>8242</v>
      </c>
      <c r="I1403" s="3"/>
      <c r="J1403" s="3"/>
      <c r="K1403" s="3" t="s">
        <v>4255</v>
      </c>
      <c r="L1403" s="4"/>
      <c r="M1403" s="3" t="s">
        <v>8666</v>
      </c>
      <c r="T1403" s="3" t="s">
        <v>8240</v>
      </c>
      <c r="V1403" s="3"/>
      <c r="W1403" s="3"/>
      <c r="X1403" s="5" t="s">
        <v>8243</v>
      </c>
      <c r="Y1403" s="5"/>
      <c r="Z1403" s="3">
        <v>0</v>
      </c>
      <c r="AA1403" s="3" t="s">
        <v>9249</v>
      </c>
      <c r="AB1403" s="4"/>
      <c r="AE1403" s="3"/>
      <c r="AF1403" s="4"/>
      <c r="AG1403" s="4"/>
      <c r="AH1403" s="4"/>
      <c r="AI1403" s="4"/>
      <c r="AJ1403" s="4"/>
      <c r="AK1403" s="3"/>
      <c r="AL1403" s="3"/>
      <c r="AM1403" s="3"/>
      <c r="AN1403" s="3"/>
      <c r="AO1403" s="4"/>
      <c r="AP1403" s="3"/>
      <c r="AQ1403" s="4"/>
      <c r="AR1403" s="3"/>
      <c r="AS1403" s="3"/>
      <c r="AT1403" s="4"/>
      <c r="AU1403" s="3"/>
      <c r="AV1403" s="4"/>
      <c r="AW1403" s="4"/>
      <c r="AX1403" s="4"/>
      <c r="AY1403" s="4"/>
      <c r="AZ1403" s="4"/>
      <c r="BA1403" s="4"/>
      <c r="BB1403" s="4"/>
      <c r="BC1403" s="4"/>
      <c r="BD1403" s="4"/>
      <c r="BE1403" s="4"/>
      <c r="BF1403" s="3"/>
      <c r="BG1403" s="3"/>
      <c r="BH1403" s="3"/>
      <c r="BI1403" s="4"/>
      <c r="BJ1403" s="3"/>
      <c r="BK1403" s="4"/>
      <c r="BL1403" s="4"/>
      <c r="BM1403" s="3"/>
      <c r="BN1403" s="4"/>
      <c r="BO1403" s="4"/>
      <c r="BP1403" s="4"/>
      <c r="BQ1403" s="4"/>
      <c r="BR1403" s="4"/>
      <c r="BS1403" s="4"/>
      <c r="BT1403" s="4"/>
      <c r="BU1403" s="4"/>
      <c r="BV1403" s="4"/>
      <c r="BW1403" s="4"/>
      <c r="BX1403" s="4"/>
      <c r="BY1403" s="4"/>
      <c r="BZ1403" s="4"/>
      <c r="CA1403" s="4"/>
      <c r="CB1403" s="4"/>
      <c r="CC1403" s="4"/>
      <c r="CD1403" s="4"/>
      <c r="CE1403" s="4"/>
      <c r="CF1403" s="4"/>
      <c r="CG1403" s="4"/>
      <c r="CH1403" s="4"/>
      <c r="CI1403" s="4"/>
      <c r="CJ1403" s="4"/>
      <c r="CK1403" s="4"/>
      <c r="CL1403" s="4"/>
      <c r="CM1403" s="4"/>
      <c r="CN1403" s="4"/>
      <c r="CO1403" s="4"/>
      <c r="CP1403" s="4"/>
      <c r="CQ1403" s="4"/>
      <c r="CR1403" s="4"/>
      <c r="CS1403" s="4"/>
      <c r="CT1403" s="3"/>
      <c r="CU1403" s="3"/>
      <c r="CV1403" s="4"/>
      <c r="CW1403" s="4"/>
      <c r="CX1403" s="4"/>
      <c r="CY1403" s="4"/>
      <c r="CZ1403" s="4"/>
      <c r="DA1403" s="4"/>
      <c r="DB1403" s="4"/>
      <c r="DC1403" s="4"/>
      <c r="DD1403" s="4"/>
      <c r="DE1403" s="4"/>
      <c r="DF1403" s="4"/>
      <c r="DG1403" s="4"/>
      <c r="DH1403" s="4"/>
      <c r="DI1403" s="4"/>
      <c r="DJ1403" s="4"/>
      <c r="DK1403" s="4"/>
      <c r="DL1403" s="4"/>
      <c r="DM1403" s="4"/>
      <c r="DN1403" s="4"/>
      <c r="DO1403" s="4"/>
      <c r="DP1403" s="4"/>
      <c r="DQ1403" s="4"/>
      <c r="DR1403" s="4"/>
      <c r="DS1403" s="4"/>
      <c r="DT1403" s="4"/>
      <c r="DU1403" s="4"/>
      <c r="DV1403" s="4"/>
      <c r="DW1403" s="4"/>
      <c r="DX1403" s="4"/>
      <c r="DY1403" s="4"/>
      <c r="DZ1403" s="4"/>
      <c r="EA1403" s="4"/>
      <c r="EB1403" s="4"/>
      <c r="EC1403" s="4"/>
      <c r="ED1403" s="4"/>
      <c r="EE1403" s="4"/>
      <c r="EF1403" s="4"/>
      <c r="EG1403" s="4"/>
    </row>
    <row r="1404" spans="1:149" hidden="1">
      <c r="A1404" s="11" t="s">
        <v>9940</v>
      </c>
      <c r="B1404" s="3" t="s">
        <v>8373</v>
      </c>
      <c r="C1404" s="3">
        <v>1999</v>
      </c>
      <c r="D1404" s="3" t="s">
        <v>9551</v>
      </c>
      <c r="E1404" s="3" t="s">
        <v>9552</v>
      </c>
      <c r="F1404" s="3">
        <v>1</v>
      </c>
      <c r="G1404" s="3"/>
      <c r="H1404" s="3" t="s">
        <v>9555</v>
      </c>
      <c r="I1404" s="3"/>
      <c r="J1404" s="3"/>
      <c r="K1404" s="3" t="s">
        <v>1073</v>
      </c>
      <c r="L1404" s="4"/>
      <c r="M1404" s="3" t="s">
        <v>8445</v>
      </c>
      <c r="T1404" s="3" t="s">
        <v>9553</v>
      </c>
      <c r="V1404" s="3"/>
      <c r="W1404" s="3"/>
      <c r="X1404" s="5" t="s">
        <v>9554</v>
      </c>
      <c r="Y1404" s="5"/>
      <c r="Z1404" s="3">
        <v>0</v>
      </c>
      <c r="AA1404" s="3" t="s">
        <v>9249</v>
      </c>
      <c r="AB1404" s="4"/>
      <c r="AE1404" s="3"/>
      <c r="AF1404" s="4"/>
      <c r="AG1404" s="4"/>
      <c r="AH1404" s="4"/>
      <c r="AI1404" s="4"/>
      <c r="AJ1404" s="4"/>
      <c r="AK1404" s="3"/>
      <c r="AL1404" s="3"/>
      <c r="AM1404" s="3"/>
      <c r="AN1404" s="3"/>
      <c r="AO1404" s="4"/>
      <c r="AP1404" s="3"/>
      <c r="AQ1404" s="4"/>
      <c r="AR1404" s="3"/>
      <c r="AS1404" s="3"/>
      <c r="AT1404" s="4"/>
      <c r="AU1404" s="3"/>
      <c r="AV1404" s="4"/>
      <c r="AW1404" s="4"/>
      <c r="AX1404" s="4"/>
      <c r="AY1404" s="4"/>
      <c r="AZ1404" s="4"/>
      <c r="BA1404" s="4"/>
      <c r="BB1404" s="4"/>
      <c r="BC1404" s="4"/>
      <c r="BD1404" s="4"/>
      <c r="BE1404" s="4"/>
      <c r="BF1404" s="3"/>
      <c r="BG1404" s="3"/>
      <c r="BH1404" s="3"/>
      <c r="BI1404" s="4"/>
      <c r="BJ1404" s="3"/>
      <c r="BK1404" s="4"/>
      <c r="BL1404" s="4"/>
      <c r="BM1404" s="3"/>
      <c r="BN1404" s="4"/>
      <c r="BO1404" s="4"/>
      <c r="BP1404" s="4"/>
      <c r="BQ1404" s="4"/>
      <c r="BR1404" s="4"/>
      <c r="BS1404" s="4"/>
      <c r="BT1404" s="4"/>
      <c r="BU1404" s="4"/>
      <c r="BV1404" s="4"/>
      <c r="BW1404" s="4"/>
      <c r="BX1404" s="4"/>
      <c r="BY1404" s="4"/>
      <c r="BZ1404" s="4"/>
      <c r="CA1404" s="4"/>
      <c r="CB1404" s="4"/>
      <c r="CC1404" s="4"/>
      <c r="CD1404" s="4"/>
      <c r="CE1404" s="4"/>
      <c r="CF1404" s="4"/>
      <c r="CG1404" s="4"/>
      <c r="CH1404" s="4"/>
      <c r="CI1404" s="4"/>
      <c r="CJ1404" s="4"/>
      <c r="CK1404" s="4"/>
      <c r="CL1404" s="4"/>
      <c r="CM1404" s="4"/>
      <c r="CN1404" s="4"/>
      <c r="CO1404" s="4"/>
      <c r="CP1404" s="4"/>
      <c r="CQ1404" s="4"/>
      <c r="CR1404" s="4"/>
      <c r="CS1404" s="4"/>
      <c r="CT1404" s="4"/>
      <c r="CU1404" s="3"/>
      <c r="CV1404" s="3"/>
      <c r="CW1404" s="4"/>
      <c r="CX1404" s="4"/>
      <c r="CY1404" s="4"/>
      <c r="CZ1404" s="4"/>
      <c r="DA1404" s="4"/>
      <c r="DB1404" s="4"/>
      <c r="DC1404" s="4"/>
      <c r="DD1404" s="4"/>
      <c r="DE1404" s="4"/>
      <c r="DF1404" s="4"/>
      <c r="DG1404" s="4"/>
      <c r="DH1404" s="4"/>
      <c r="DI1404" s="4"/>
      <c r="DJ1404" s="4"/>
      <c r="DK1404" s="4"/>
      <c r="DL1404" s="4"/>
      <c r="DM1404" s="4"/>
      <c r="DN1404" s="4"/>
      <c r="DO1404" s="4"/>
      <c r="DP1404" s="4"/>
      <c r="DQ1404" s="4"/>
      <c r="DR1404" s="4"/>
      <c r="DS1404" s="4"/>
      <c r="DT1404" s="4"/>
      <c r="DU1404" s="4"/>
      <c r="DV1404" s="4"/>
      <c r="DW1404" s="4"/>
      <c r="DX1404" s="4"/>
      <c r="DY1404" s="4"/>
      <c r="DZ1404" s="4"/>
      <c r="EA1404" s="4"/>
      <c r="EB1404" s="4"/>
      <c r="EC1404" s="4"/>
      <c r="ED1404" s="4"/>
      <c r="EE1404" s="4"/>
      <c r="EF1404" s="4"/>
      <c r="EG1404" s="4"/>
      <c r="EH1404" s="4"/>
    </row>
    <row r="1405" spans="1:149" hidden="1">
      <c r="A1405" s="11" t="s">
        <v>9940</v>
      </c>
      <c r="B1405" s="3" t="s">
        <v>8379</v>
      </c>
      <c r="C1405" s="3">
        <v>2012</v>
      </c>
      <c r="D1405" s="3" t="s">
        <v>612</v>
      </c>
      <c r="E1405" s="3" t="s">
        <v>8865</v>
      </c>
      <c r="F1405" s="3">
        <v>1</v>
      </c>
      <c r="G1405" s="4"/>
      <c r="H1405" s="3" t="s">
        <v>616</v>
      </c>
      <c r="I1405" s="3"/>
      <c r="J1405" s="3"/>
      <c r="K1405" s="4"/>
      <c r="L1405" s="4"/>
      <c r="M1405" s="4"/>
      <c r="T1405" s="4"/>
      <c r="V1405" s="3"/>
      <c r="W1405" s="3"/>
      <c r="X1405" s="5" t="s">
        <v>617</v>
      </c>
      <c r="Y1405" s="5"/>
      <c r="Z1405" s="3">
        <v>1</v>
      </c>
      <c r="AA1405" s="4"/>
      <c r="AB1405" s="4"/>
      <c r="AE1405" s="3"/>
      <c r="AF1405" s="3"/>
      <c r="AG1405" s="3"/>
      <c r="AH1405" s="4"/>
      <c r="AI1405" s="4"/>
      <c r="AJ1405" s="4"/>
      <c r="AK1405" s="3"/>
      <c r="AL1405" s="3"/>
      <c r="AM1405" s="3"/>
      <c r="AN1405" s="3"/>
      <c r="AO1405" s="4"/>
      <c r="AP1405" s="4"/>
      <c r="AQ1405" s="3"/>
      <c r="AR1405" s="4"/>
      <c r="AS1405" s="4"/>
      <c r="AT1405" s="4"/>
      <c r="AU1405" s="4"/>
      <c r="AV1405" s="4"/>
      <c r="AW1405" s="4"/>
      <c r="AX1405" s="4"/>
      <c r="AY1405" s="4"/>
      <c r="AZ1405" s="4"/>
      <c r="BA1405" s="3"/>
      <c r="BB1405" s="4"/>
      <c r="BC1405" s="3"/>
      <c r="BD1405" s="3"/>
      <c r="BE1405" s="3"/>
      <c r="BF1405" s="4"/>
      <c r="BG1405" s="3"/>
      <c r="BH1405" s="3"/>
      <c r="BI1405" s="4"/>
      <c r="BJ1405" s="4"/>
      <c r="BK1405" s="4"/>
      <c r="BL1405" s="4"/>
      <c r="BM1405" s="4"/>
      <c r="BN1405" s="4"/>
      <c r="BO1405" s="4"/>
      <c r="BP1405" s="4"/>
      <c r="BQ1405" s="4"/>
      <c r="BR1405" s="4"/>
      <c r="BS1405" s="4"/>
      <c r="BT1405" s="4"/>
      <c r="BU1405" s="4"/>
      <c r="BV1405" s="4"/>
      <c r="BW1405" s="4"/>
      <c r="BX1405" s="4"/>
      <c r="BY1405" s="4"/>
      <c r="BZ1405" s="4"/>
      <c r="CA1405" s="4"/>
      <c r="CB1405" s="4"/>
      <c r="CC1405" s="4"/>
      <c r="CD1405" s="4"/>
      <c r="CE1405" s="4"/>
      <c r="CF1405" s="4"/>
      <c r="CG1405" s="4"/>
      <c r="CH1405" s="4"/>
      <c r="CI1405" s="4"/>
      <c r="CJ1405" s="4"/>
      <c r="CK1405" s="4"/>
      <c r="CL1405" s="4"/>
      <c r="CM1405" s="4"/>
      <c r="CN1405" s="4"/>
      <c r="CO1405" s="4"/>
      <c r="CP1405" s="4"/>
      <c r="CQ1405" s="4"/>
      <c r="CR1405" s="4"/>
      <c r="CS1405" s="4"/>
      <c r="CT1405" s="4"/>
      <c r="CU1405" s="4"/>
      <c r="CV1405" s="4"/>
      <c r="CW1405" s="4"/>
      <c r="CX1405" s="3"/>
      <c r="CY1405" s="3"/>
      <c r="CZ1405" s="8"/>
      <c r="DA1405" s="4"/>
      <c r="DB1405" s="4"/>
      <c r="DC1405" s="4"/>
      <c r="DD1405" s="4"/>
      <c r="DE1405" s="8"/>
      <c r="DF1405" s="8"/>
      <c r="DG1405" s="8"/>
      <c r="DH1405" s="8"/>
      <c r="DI1405" s="4"/>
      <c r="DJ1405" s="4"/>
      <c r="DK1405" s="4"/>
      <c r="DL1405" s="4"/>
      <c r="DM1405" s="4"/>
      <c r="DN1405" s="4"/>
      <c r="DO1405" s="4"/>
      <c r="DP1405" s="4"/>
      <c r="DQ1405" s="4"/>
      <c r="DR1405" s="4"/>
      <c r="DS1405" s="4"/>
      <c r="DT1405" s="4"/>
      <c r="DU1405" s="4"/>
      <c r="DV1405" s="4"/>
      <c r="DW1405" s="4"/>
      <c r="DX1405" s="4"/>
      <c r="DY1405" s="4"/>
      <c r="DZ1405" s="4"/>
      <c r="EA1405" s="4"/>
      <c r="EB1405" s="4"/>
      <c r="EC1405" s="8"/>
      <c r="ED1405" s="8"/>
      <c r="EE1405" s="8"/>
      <c r="EF1405" s="8"/>
      <c r="EG1405" s="8"/>
      <c r="EH1405" s="8"/>
      <c r="EI1405" s="4"/>
      <c r="EJ1405" s="4"/>
      <c r="EK1405" s="3"/>
    </row>
    <row r="1406" spans="1:149" hidden="1">
      <c r="A1406" s="11" t="s">
        <v>9940</v>
      </c>
      <c r="B1406" s="3" t="s">
        <v>8373</v>
      </c>
      <c r="C1406" s="3">
        <v>2017</v>
      </c>
      <c r="D1406" s="3" t="s">
        <v>5631</v>
      </c>
      <c r="E1406" s="3" t="s">
        <v>8866</v>
      </c>
      <c r="F1406" s="3">
        <v>1</v>
      </c>
      <c r="G1406" s="3"/>
      <c r="H1406" s="3" t="s">
        <v>8868</v>
      </c>
      <c r="I1406" s="3"/>
      <c r="J1406" s="3"/>
      <c r="K1406" s="3" t="s">
        <v>5632</v>
      </c>
      <c r="L1406" s="4"/>
      <c r="M1406" s="3" t="s">
        <v>8867</v>
      </c>
      <c r="T1406" s="3" t="s">
        <v>5634</v>
      </c>
      <c r="V1406" s="3"/>
      <c r="W1406" s="3"/>
      <c r="X1406" s="5" t="s">
        <v>5637</v>
      </c>
      <c r="Y1406" s="5"/>
      <c r="Z1406" s="3">
        <v>1</v>
      </c>
      <c r="AA1406" s="4"/>
      <c r="AB1406" s="4"/>
      <c r="AE1406" s="3"/>
      <c r="AF1406" s="3"/>
      <c r="AG1406" s="4"/>
      <c r="AH1406" s="4"/>
      <c r="AI1406" s="4"/>
      <c r="AJ1406" s="4"/>
      <c r="AK1406" s="3"/>
      <c r="AL1406" s="3"/>
      <c r="AM1406" s="3"/>
      <c r="AN1406" s="3"/>
      <c r="AO1406" s="4"/>
      <c r="AP1406" s="3"/>
      <c r="AQ1406" s="4"/>
      <c r="AR1406" s="3"/>
      <c r="AS1406" s="3"/>
      <c r="AT1406" s="4"/>
      <c r="AU1406" s="3"/>
      <c r="AV1406" s="4"/>
      <c r="AW1406" s="4"/>
      <c r="AX1406" s="4"/>
      <c r="AY1406" s="4"/>
      <c r="AZ1406" s="4"/>
      <c r="BA1406" s="4"/>
      <c r="BB1406" s="4"/>
      <c r="BC1406" s="4"/>
      <c r="BD1406" s="4"/>
      <c r="BE1406" s="4"/>
      <c r="BF1406" s="3"/>
      <c r="BG1406" s="3"/>
      <c r="BH1406" s="3"/>
      <c r="BI1406" s="4"/>
      <c r="BJ1406" s="3"/>
      <c r="BK1406" s="4"/>
      <c r="BL1406" s="4"/>
      <c r="BM1406" s="3"/>
      <c r="BN1406" s="4"/>
      <c r="BO1406" s="4"/>
      <c r="BP1406" s="4"/>
      <c r="BQ1406" s="4"/>
      <c r="BR1406" s="4"/>
      <c r="BS1406" s="4"/>
      <c r="BT1406" s="4"/>
      <c r="BU1406" s="4"/>
      <c r="BV1406" s="4"/>
      <c r="BW1406" s="4"/>
      <c r="BX1406" s="4"/>
      <c r="BY1406" s="4"/>
      <c r="BZ1406" s="4"/>
      <c r="CA1406" s="4"/>
      <c r="CB1406" s="4"/>
      <c r="CC1406" s="4"/>
      <c r="CD1406" s="4"/>
      <c r="CE1406" s="4"/>
      <c r="CF1406" s="4"/>
      <c r="CG1406" s="4"/>
      <c r="CH1406" s="4"/>
      <c r="CI1406" s="4"/>
      <c r="CJ1406" s="4"/>
      <c r="CK1406" s="4"/>
      <c r="CL1406" s="4"/>
      <c r="CM1406" s="4"/>
      <c r="CN1406" s="4"/>
      <c r="CO1406" s="4"/>
      <c r="CP1406" s="4"/>
      <c r="CQ1406" s="4"/>
      <c r="CR1406" s="4"/>
      <c r="CS1406" s="4"/>
      <c r="CT1406" s="4"/>
      <c r="CU1406" s="4"/>
      <c r="CV1406" s="4"/>
      <c r="CW1406" s="4"/>
      <c r="CX1406" s="4"/>
      <c r="CY1406" s="4"/>
      <c r="CZ1406" s="4"/>
      <c r="DA1406" s="4"/>
      <c r="DB1406" s="4"/>
      <c r="DC1406" s="4"/>
      <c r="DD1406" s="4"/>
      <c r="DE1406" s="3"/>
      <c r="DF1406" s="3"/>
      <c r="DG1406" s="8"/>
      <c r="DH1406" s="4"/>
      <c r="DI1406" s="4"/>
      <c r="DJ1406" s="4"/>
      <c r="DK1406" s="4"/>
      <c r="DL1406" s="8"/>
      <c r="DM1406" s="8"/>
      <c r="DN1406" s="8"/>
      <c r="DO1406" s="8"/>
      <c r="DP1406" s="4"/>
      <c r="DQ1406" s="4"/>
      <c r="DR1406" s="4"/>
      <c r="DS1406" s="4"/>
      <c r="DT1406" s="4"/>
      <c r="DU1406" s="4"/>
      <c r="DV1406" s="4"/>
      <c r="DW1406" s="4"/>
      <c r="DX1406" s="4"/>
      <c r="DY1406" s="4"/>
      <c r="DZ1406" s="4"/>
      <c r="EA1406" s="4"/>
      <c r="EB1406" s="4"/>
      <c r="EC1406" s="4"/>
      <c r="ED1406" s="4"/>
      <c r="EE1406" s="4"/>
      <c r="EF1406" s="4"/>
      <c r="EG1406" s="4"/>
      <c r="EH1406" s="4"/>
      <c r="EI1406" s="4"/>
      <c r="EJ1406" s="8"/>
      <c r="EK1406" s="8"/>
      <c r="EL1406" s="8"/>
      <c r="EM1406" s="8"/>
      <c r="EN1406" s="8"/>
      <c r="EO1406" s="8"/>
      <c r="EP1406" s="4"/>
      <c r="EQ1406" s="4"/>
      <c r="ER1406" s="4"/>
    </row>
    <row r="1407" spans="1:149" hidden="1">
      <c r="A1407" s="11" t="s">
        <v>9940</v>
      </c>
      <c r="B1407" s="3" t="s">
        <v>8373</v>
      </c>
      <c r="C1407" s="3">
        <v>1997</v>
      </c>
      <c r="D1407" s="3" t="s">
        <v>8869</v>
      </c>
      <c r="E1407" s="3" t="s">
        <v>8870</v>
      </c>
      <c r="F1407" s="3">
        <v>1</v>
      </c>
      <c r="G1407" s="3"/>
      <c r="H1407" s="3" t="s">
        <v>8874</v>
      </c>
      <c r="I1407" s="3"/>
      <c r="J1407" s="3"/>
      <c r="K1407" s="3" t="s">
        <v>893</v>
      </c>
      <c r="L1407" s="4"/>
      <c r="M1407" s="3" t="s">
        <v>8871</v>
      </c>
      <c r="T1407" s="3" t="s">
        <v>8872</v>
      </c>
      <c r="V1407" s="3"/>
      <c r="W1407" s="4"/>
      <c r="X1407" s="5" t="s">
        <v>8873</v>
      </c>
      <c r="Y1407" s="5"/>
      <c r="Z1407" s="3">
        <v>1</v>
      </c>
      <c r="AA1407" s="4"/>
      <c r="AB1407" s="3"/>
      <c r="AE1407" s="3"/>
      <c r="AF1407" s="3"/>
      <c r="AG1407" s="4"/>
      <c r="AH1407" s="4"/>
      <c r="AI1407" s="4"/>
      <c r="AJ1407" s="4"/>
      <c r="AK1407" s="3"/>
      <c r="AL1407" s="3"/>
      <c r="AM1407" s="3"/>
      <c r="AN1407" s="3"/>
      <c r="AO1407" s="4"/>
      <c r="AP1407" s="3"/>
      <c r="AQ1407" s="4"/>
      <c r="AR1407" s="3"/>
      <c r="AS1407" s="3"/>
      <c r="AT1407" s="4"/>
      <c r="AU1407" s="3"/>
      <c r="AV1407" s="4"/>
      <c r="AW1407" s="4"/>
      <c r="AX1407" s="4"/>
      <c r="AY1407" s="4"/>
      <c r="AZ1407" s="4"/>
      <c r="BA1407" s="4"/>
      <c r="BB1407" s="4"/>
      <c r="BC1407" s="4"/>
      <c r="BD1407" s="4"/>
      <c r="BE1407" s="4"/>
      <c r="BF1407" s="3"/>
      <c r="BG1407" s="3"/>
      <c r="BH1407" s="3"/>
      <c r="BI1407" s="4"/>
      <c r="BJ1407" s="3"/>
      <c r="BK1407" s="4"/>
      <c r="BL1407" s="4"/>
      <c r="BM1407" s="3"/>
      <c r="BN1407" s="4"/>
      <c r="BO1407" s="4"/>
      <c r="BP1407" s="4"/>
      <c r="BQ1407" s="4"/>
      <c r="BR1407" s="4"/>
      <c r="BS1407" s="4"/>
      <c r="BT1407" s="4"/>
      <c r="BU1407" s="4"/>
      <c r="BV1407" s="4"/>
      <c r="BW1407" s="4"/>
      <c r="BX1407" s="4"/>
      <c r="BY1407" s="4"/>
      <c r="BZ1407" s="4"/>
      <c r="CA1407" s="4"/>
      <c r="CB1407" s="4"/>
      <c r="CC1407" s="4"/>
      <c r="CD1407" s="4"/>
      <c r="CE1407" s="4"/>
      <c r="CF1407" s="4"/>
      <c r="CG1407" s="4"/>
      <c r="CH1407" s="4"/>
      <c r="CI1407" s="4"/>
      <c r="CJ1407" s="4"/>
      <c r="CK1407" s="4"/>
      <c r="CL1407" s="4"/>
      <c r="CM1407" s="4"/>
      <c r="CN1407" s="4"/>
      <c r="CO1407" s="4"/>
      <c r="CP1407" s="4"/>
      <c r="CQ1407" s="4"/>
      <c r="CR1407" s="4"/>
      <c r="CS1407" s="4"/>
      <c r="CT1407" s="4"/>
      <c r="CU1407" s="4"/>
      <c r="CV1407" s="4"/>
      <c r="CW1407" s="3"/>
      <c r="CX1407" s="3"/>
      <c r="CY1407" s="8"/>
      <c r="CZ1407" s="4"/>
      <c r="DA1407" s="4"/>
      <c r="DB1407" s="4"/>
      <c r="DC1407" s="4"/>
      <c r="DD1407" s="8"/>
      <c r="DE1407" s="8"/>
      <c r="DF1407" s="8"/>
      <c r="DG1407" s="8"/>
      <c r="DH1407" s="4"/>
      <c r="DI1407" s="4"/>
      <c r="DJ1407" s="4"/>
      <c r="DK1407" s="4"/>
      <c r="DL1407" s="4"/>
      <c r="DM1407" s="4"/>
      <c r="DN1407" s="4"/>
      <c r="DO1407" s="4"/>
      <c r="DP1407" s="4"/>
      <c r="DQ1407" s="4"/>
      <c r="DR1407" s="4"/>
      <c r="DS1407" s="4"/>
      <c r="DT1407" s="4"/>
      <c r="DU1407" s="4"/>
      <c r="DV1407" s="4"/>
      <c r="DW1407" s="4"/>
      <c r="DX1407" s="4"/>
      <c r="DY1407" s="4"/>
      <c r="DZ1407" s="4"/>
      <c r="EA1407" s="4"/>
      <c r="EB1407" s="8"/>
      <c r="EC1407" s="8"/>
      <c r="ED1407" s="8"/>
      <c r="EE1407" s="8"/>
      <c r="EF1407" s="8"/>
      <c r="EG1407" s="8"/>
      <c r="EH1407" s="4"/>
      <c r="EI1407" s="4"/>
      <c r="EJ1407" s="4"/>
    </row>
    <row r="1408" spans="1:149" hidden="1">
      <c r="A1408" s="11" t="s">
        <v>9940</v>
      </c>
      <c r="B1408" s="3" t="s">
        <v>8373</v>
      </c>
      <c r="C1408" s="3">
        <v>2001</v>
      </c>
      <c r="D1408" s="3" t="s">
        <v>8875</v>
      </c>
      <c r="E1408" s="3" t="s">
        <v>8876</v>
      </c>
      <c r="F1408" s="3">
        <v>1</v>
      </c>
      <c r="G1408" s="3"/>
      <c r="H1408" s="3" t="s">
        <v>8879</v>
      </c>
      <c r="I1408" s="3"/>
      <c r="J1408" s="3"/>
      <c r="K1408" s="3" t="s">
        <v>132</v>
      </c>
      <c r="L1408" s="4"/>
      <c r="M1408" s="3" t="s">
        <v>8382</v>
      </c>
      <c r="T1408" s="3" t="s">
        <v>8877</v>
      </c>
      <c r="V1408" s="3"/>
      <c r="W1408" s="4"/>
      <c r="X1408" s="5" t="s">
        <v>8878</v>
      </c>
      <c r="Y1408" s="5"/>
      <c r="Z1408" s="3">
        <v>1</v>
      </c>
      <c r="AA1408" s="4"/>
      <c r="AB1408" s="3"/>
      <c r="AE1408" s="3"/>
      <c r="AF1408" s="3"/>
      <c r="AG1408" s="4"/>
      <c r="AH1408" s="4"/>
      <c r="AI1408" s="4"/>
      <c r="AJ1408" s="4"/>
      <c r="AK1408" s="3"/>
      <c r="AL1408" s="3"/>
      <c r="AM1408" s="3"/>
      <c r="AN1408" s="3"/>
      <c r="AO1408" s="4"/>
      <c r="AP1408" s="3"/>
      <c r="AQ1408" s="4"/>
      <c r="AR1408" s="3"/>
      <c r="AS1408" s="3"/>
      <c r="AT1408" s="4"/>
      <c r="AU1408" s="3"/>
      <c r="AV1408" s="4"/>
      <c r="AW1408" s="4"/>
      <c r="AX1408" s="4"/>
      <c r="AY1408" s="4"/>
      <c r="AZ1408" s="4"/>
      <c r="BA1408" s="4"/>
      <c r="BB1408" s="4"/>
      <c r="BC1408" s="4"/>
      <c r="BD1408" s="4"/>
      <c r="BE1408" s="4"/>
      <c r="BF1408" s="3"/>
      <c r="BG1408" s="3"/>
      <c r="BH1408" s="3"/>
      <c r="BI1408" s="4"/>
      <c r="BJ1408" s="3"/>
      <c r="BK1408" s="4"/>
      <c r="BL1408" s="4"/>
      <c r="BM1408" s="3"/>
      <c r="BN1408" s="4"/>
      <c r="BO1408" s="4"/>
      <c r="BP1408" s="4"/>
      <c r="BQ1408" s="4"/>
      <c r="BR1408" s="4"/>
      <c r="BS1408" s="4"/>
      <c r="BT1408" s="4"/>
      <c r="BU1408" s="4"/>
      <c r="BV1408" s="4"/>
      <c r="BW1408" s="4"/>
      <c r="BX1408" s="4"/>
      <c r="BY1408" s="4"/>
      <c r="BZ1408" s="4"/>
      <c r="CA1408" s="4"/>
      <c r="CB1408" s="4"/>
      <c r="CC1408" s="4"/>
      <c r="CD1408" s="4"/>
      <c r="CE1408" s="4"/>
      <c r="CF1408" s="4"/>
      <c r="CG1408" s="4"/>
      <c r="CH1408" s="4"/>
      <c r="CI1408" s="4"/>
      <c r="CJ1408" s="4"/>
      <c r="CK1408" s="4"/>
      <c r="CL1408" s="4"/>
      <c r="CM1408" s="4"/>
      <c r="CN1408" s="4"/>
      <c r="CO1408" s="4"/>
      <c r="CP1408" s="4"/>
      <c r="CQ1408" s="4"/>
      <c r="CR1408" s="4"/>
      <c r="CS1408" s="3"/>
      <c r="CT1408" s="3"/>
      <c r="CU1408" s="8"/>
      <c r="CV1408" s="4"/>
      <c r="CW1408" s="4"/>
      <c r="CX1408" s="4"/>
      <c r="CY1408" s="4"/>
      <c r="CZ1408" s="8"/>
      <c r="DA1408" s="8"/>
      <c r="DB1408" s="8"/>
      <c r="DC1408" s="8"/>
      <c r="DD1408" s="4"/>
      <c r="DE1408" s="4"/>
      <c r="DF1408" s="4"/>
      <c r="DG1408" s="4"/>
      <c r="DH1408" s="4"/>
      <c r="DI1408" s="4"/>
      <c r="DJ1408" s="4"/>
      <c r="DK1408" s="4"/>
      <c r="DL1408" s="4"/>
      <c r="DM1408" s="4"/>
      <c r="DN1408" s="4"/>
      <c r="DO1408" s="4"/>
      <c r="DP1408" s="4"/>
      <c r="DQ1408" s="4"/>
      <c r="DR1408" s="4"/>
      <c r="DS1408" s="4"/>
      <c r="DT1408" s="4"/>
      <c r="DU1408" s="4"/>
      <c r="DV1408" s="4"/>
      <c r="DW1408" s="4"/>
      <c r="DX1408" s="8"/>
      <c r="DY1408" s="8"/>
      <c r="DZ1408" s="8"/>
      <c r="EA1408" s="8"/>
      <c r="EB1408" s="8"/>
      <c r="EC1408" s="8"/>
      <c r="ED1408" s="4"/>
      <c r="EE1408" s="4"/>
      <c r="EF1408" s="4"/>
    </row>
    <row r="1409" spans="1:147" hidden="1">
      <c r="A1409" s="11" t="s">
        <v>9940</v>
      </c>
      <c r="B1409" s="3" t="s">
        <v>8373</v>
      </c>
      <c r="C1409" s="3">
        <v>1995</v>
      </c>
      <c r="D1409" s="3" t="s">
        <v>8880</v>
      </c>
      <c r="E1409" s="3" t="s">
        <v>8881</v>
      </c>
      <c r="F1409" s="3">
        <v>1</v>
      </c>
      <c r="G1409" s="3"/>
      <c r="H1409" s="3" t="s">
        <v>8885</v>
      </c>
      <c r="I1409" s="3"/>
      <c r="J1409" s="3"/>
      <c r="K1409" s="3" t="s">
        <v>8882</v>
      </c>
      <c r="L1409" s="4"/>
      <c r="M1409" s="3" t="s">
        <v>8883</v>
      </c>
      <c r="T1409" s="4"/>
      <c r="V1409" s="3"/>
      <c r="W1409" s="4"/>
      <c r="X1409" s="5" t="s">
        <v>8884</v>
      </c>
      <c r="Y1409" s="5"/>
      <c r="Z1409" s="3">
        <v>1</v>
      </c>
      <c r="AA1409" s="4"/>
      <c r="AB1409" s="4"/>
      <c r="AE1409" s="3"/>
      <c r="AF1409" s="3"/>
      <c r="AG1409" s="4"/>
      <c r="AH1409" s="4"/>
      <c r="AI1409" s="3"/>
      <c r="AJ1409" s="3"/>
      <c r="AK1409" s="3"/>
      <c r="AL1409" s="3"/>
      <c r="AM1409" s="3"/>
      <c r="AN1409" s="3"/>
      <c r="AO1409" s="4"/>
      <c r="AP1409" s="3"/>
      <c r="AQ1409" s="4"/>
      <c r="AR1409" s="3"/>
      <c r="AS1409" s="3"/>
      <c r="AT1409" s="4"/>
      <c r="AU1409" s="3"/>
      <c r="AV1409" s="4"/>
      <c r="AW1409" s="4"/>
      <c r="AX1409" s="4"/>
      <c r="AY1409" s="4"/>
      <c r="AZ1409" s="4"/>
      <c r="BA1409" s="4"/>
      <c r="BB1409" s="4"/>
      <c r="BC1409" s="4"/>
      <c r="BD1409" s="4"/>
      <c r="BE1409" s="4"/>
      <c r="BF1409" s="3"/>
      <c r="BG1409" s="3"/>
      <c r="BH1409" s="3"/>
      <c r="BI1409" s="4"/>
      <c r="BJ1409" s="3"/>
      <c r="BK1409" s="4"/>
      <c r="BL1409" s="3"/>
      <c r="BM1409" s="4"/>
      <c r="BN1409" s="4"/>
      <c r="BO1409" s="4"/>
      <c r="BP1409" s="4"/>
      <c r="BQ1409" s="4"/>
      <c r="BR1409" s="4"/>
      <c r="BS1409" s="4"/>
      <c r="BT1409" s="4"/>
      <c r="BU1409" s="4"/>
      <c r="BV1409" s="4"/>
      <c r="BW1409" s="4"/>
      <c r="BX1409" s="4"/>
      <c r="BY1409" s="4"/>
      <c r="BZ1409" s="4"/>
      <c r="CA1409" s="4"/>
      <c r="CB1409" s="4"/>
      <c r="CC1409" s="4"/>
      <c r="CD1409" s="4"/>
      <c r="CE1409" s="4"/>
      <c r="CF1409" s="4"/>
      <c r="CG1409" s="4"/>
      <c r="CH1409" s="4"/>
      <c r="CI1409" s="4"/>
      <c r="CJ1409" s="4"/>
      <c r="CK1409" s="4"/>
      <c r="CL1409" s="4"/>
      <c r="CM1409" s="4"/>
      <c r="CN1409" s="4"/>
      <c r="CO1409" s="4"/>
      <c r="CP1409" s="4"/>
      <c r="CQ1409" s="4"/>
      <c r="CR1409" s="4"/>
      <c r="CS1409" s="4"/>
      <c r="CT1409" s="4"/>
      <c r="CU1409" s="4"/>
      <c r="CV1409" s="4"/>
      <c r="CW1409" s="4"/>
      <c r="CX1409" s="4"/>
      <c r="CY1409" s="4"/>
      <c r="CZ1409" s="4"/>
      <c r="DA1409" s="4"/>
      <c r="DB1409" s="3"/>
      <c r="DC1409" s="3"/>
      <c r="DD1409" s="8"/>
      <c r="DE1409" s="4"/>
      <c r="DF1409" s="4"/>
      <c r="DG1409" s="4"/>
      <c r="DH1409" s="4"/>
      <c r="DI1409" s="8"/>
      <c r="DJ1409" s="8"/>
      <c r="DK1409" s="8"/>
      <c r="DL1409" s="8"/>
      <c r="DM1409" s="4"/>
      <c r="DN1409" s="4"/>
      <c r="DO1409" s="4"/>
      <c r="DP1409" s="4"/>
      <c r="DQ1409" s="4"/>
      <c r="DR1409" s="4"/>
      <c r="DS1409" s="4"/>
      <c r="DT1409" s="4"/>
      <c r="DU1409" s="4"/>
      <c r="DV1409" s="4"/>
      <c r="DW1409" s="4"/>
      <c r="DX1409" s="4"/>
      <c r="DY1409" s="4"/>
      <c r="DZ1409" s="4"/>
      <c r="EA1409" s="4"/>
      <c r="EB1409" s="4"/>
      <c r="EC1409" s="4"/>
      <c r="ED1409" s="4"/>
      <c r="EE1409" s="4"/>
      <c r="EF1409" s="4"/>
      <c r="EG1409" s="8"/>
      <c r="EH1409" s="4"/>
      <c r="EI1409" s="4"/>
      <c r="EJ1409" s="4"/>
      <c r="EK1409" s="4"/>
      <c r="EL1409" s="4"/>
      <c r="EM1409" s="4"/>
      <c r="EN1409" s="4"/>
      <c r="EO1409" s="4"/>
    </row>
    <row r="1410" spans="1:147" hidden="1">
      <c r="A1410" s="11" t="s">
        <v>9940</v>
      </c>
      <c r="B1410" s="3" t="s">
        <v>8373</v>
      </c>
      <c r="C1410" s="3">
        <v>2002</v>
      </c>
      <c r="D1410" s="3" t="s">
        <v>8886</v>
      </c>
      <c r="E1410" s="3" t="s">
        <v>8887</v>
      </c>
      <c r="F1410" s="3">
        <v>1</v>
      </c>
      <c r="G1410" s="3"/>
      <c r="H1410" s="3" t="s">
        <v>8891</v>
      </c>
      <c r="I1410" s="3"/>
      <c r="J1410" s="3"/>
      <c r="K1410" s="3" t="s">
        <v>8888</v>
      </c>
      <c r="L1410" s="4"/>
      <c r="M1410" s="3" t="s">
        <v>8889</v>
      </c>
      <c r="T1410" s="4"/>
      <c r="V1410" s="3"/>
      <c r="W1410" s="4"/>
      <c r="X1410" s="5" t="s">
        <v>8890</v>
      </c>
      <c r="Y1410" s="5"/>
      <c r="Z1410" s="3">
        <v>1</v>
      </c>
      <c r="AA1410" s="4"/>
      <c r="AB1410" s="4"/>
      <c r="AE1410" s="3"/>
      <c r="AF1410" s="3"/>
      <c r="AG1410" s="4"/>
      <c r="AH1410" s="4"/>
      <c r="AI1410" s="3"/>
      <c r="AJ1410" s="3"/>
      <c r="AK1410" s="3"/>
      <c r="AL1410" s="3"/>
      <c r="AM1410" s="3"/>
      <c r="AN1410" s="3"/>
      <c r="AO1410" s="4"/>
      <c r="AP1410" s="3"/>
      <c r="AQ1410" s="4"/>
      <c r="AR1410" s="10"/>
      <c r="AS1410" s="3"/>
      <c r="AT1410" s="4"/>
      <c r="AU1410" s="3"/>
      <c r="AV1410" s="4"/>
      <c r="AW1410" s="4"/>
      <c r="AX1410" s="4"/>
      <c r="AY1410" s="4"/>
      <c r="AZ1410" s="4"/>
      <c r="BA1410" s="4"/>
      <c r="BB1410" s="4"/>
      <c r="BC1410" s="4"/>
      <c r="BD1410" s="4"/>
      <c r="BE1410" s="4"/>
      <c r="BF1410" s="3"/>
      <c r="BG1410" s="3"/>
      <c r="BH1410" s="3"/>
      <c r="BI1410" s="4"/>
      <c r="BJ1410" s="3"/>
      <c r="BK1410" s="4"/>
      <c r="BL1410" s="3"/>
      <c r="BM1410" s="4"/>
      <c r="BN1410" s="4"/>
      <c r="BO1410" s="4"/>
      <c r="BP1410" s="4"/>
      <c r="BQ1410" s="4"/>
      <c r="BR1410" s="4"/>
      <c r="BS1410" s="4"/>
      <c r="BT1410" s="4"/>
      <c r="BU1410" s="4"/>
      <c r="BV1410" s="4"/>
      <c r="BW1410" s="4"/>
      <c r="BX1410" s="4"/>
      <c r="BY1410" s="4"/>
      <c r="BZ1410" s="4"/>
      <c r="CA1410" s="4"/>
      <c r="CB1410" s="4"/>
      <c r="CC1410" s="4"/>
      <c r="CD1410" s="4"/>
      <c r="CE1410" s="4"/>
      <c r="CF1410" s="4"/>
      <c r="CG1410" s="4"/>
      <c r="CH1410" s="4"/>
      <c r="CI1410" s="4"/>
      <c r="CJ1410" s="4"/>
      <c r="CK1410" s="4"/>
      <c r="CL1410" s="4"/>
      <c r="CM1410" s="4"/>
      <c r="CN1410" s="4"/>
      <c r="CO1410" s="4"/>
      <c r="CP1410" s="4"/>
      <c r="CQ1410" s="4"/>
      <c r="CR1410" s="4"/>
      <c r="CS1410" s="4"/>
      <c r="CT1410" s="4"/>
      <c r="CU1410" s="4"/>
      <c r="CV1410" s="4"/>
      <c r="CW1410" s="4"/>
      <c r="CX1410" s="4"/>
      <c r="CY1410" s="4"/>
      <c r="CZ1410" s="4"/>
      <c r="DA1410" s="4"/>
      <c r="DB1410" s="3"/>
      <c r="DC1410" s="3"/>
      <c r="DD1410" s="6"/>
      <c r="DE1410" s="4"/>
      <c r="DF1410" s="4"/>
      <c r="DG1410" s="4"/>
      <c r="DH1410" s="4"/>
      <c r="DI1410" s="8"/>
      <c r="DJ1410" s="8"/>
      <c r="DK1410" s="8"/>
      <c r="DL1410" s="8"/>
      <c r="DM1410" s="4"/>
      <c r="DN1410" s="4"/>
      <c r="DO1410" s="4"/>
      <c r="DP1410" s="4"/>
      <c r="DQ1410" s="4"/>
      <c r="DR1410" s="4"/>
      <c r="DS1410" s="4"/>
      <c r="DT1410" s="4"/>
      <c r="DU1410" s="4"/>
      <c r="DV1410" s="4"/>
      <c r="DW1410" s="4"/>
      <c r="DX1410" s="4"/>
      <c r="DY1410" s="4"/>
      <c r="DZ1410" s="4"/>
      <c r="EA1410" s="4"/>
      <c r="EB1410" s="4"/>
      <c r="EC1410" s="4"/>
      <c r="ED1410" s="4"/>
      <c r="EE1410" s="4"/>
      <c r="EF1410" s="4"/>
      <c r="EG1410" s="8"/>
      <c r="EH1410" s="4"/>
      <c r="EI1410" s="4"/>
      <c r="EJ1410" s="4"/>
      <c r="EK1410" s="4"/>
      <c r="EL1410" s="4"/>
      <c r="EM1410" s="4"/>
      <c r="EN1410" s="4"/>
      <c r="EO1410" s="4"/>
    </row>
    <row r="1411" spans="1:147" hidden="1">
      <c r="A1411" s="11" t="s">
        <v>9940</v>
      </c>
      <c r="B1411" s="3" t="s">
        <v>8373</v>
      </c>
      <c r="C1411" s="3">
        <v>2003</v>
      </c>
      <c r="D1411" s="3" t="s">
        <v>8892</v>
      </c>
      <c r="E1411" s="3" t="s">
        <v>8893</v>
      </c>
      <c r="F1411" s="3">
        <v>1</v>
      </c>
      <c r="G1411" s="3"/>
      <c r="H1411" s="3" t="s">
        <v>8896</v>
      </c>
      <c r="I1411" s="3"/>
      <c r="J1411" s="3"/>
      <c r="K1411" s="3" t="s">
        <v>252</v>
      </c>
      <c r="L1411" s="4"/>
      <c r="M1411" s="3" t="s">
        <v>8427</v>
      </c>
      <c r="T1411" s="3" t="s">
        <v>8894</v>
      </c>
      <c r="V1411" s="3"/>
      <c r="W1411" s="4"/>
      <c r="X1411" s="5" t="s">
        <v>8895</v>
      </c>
      <c r="Y1411" s="5"/>
      <c r="Z1411" s="3">
        <v>1</v>
      </c>
      <c r="AA1411" s="4"/>
      <c r="AB1411" s="3"/>
      <c r="AE1411" s="3"/>
      <c r="AF1411" s="3"/>
      <c r="AG1411" s="4"/>
      <c r="AH1411" s="4"/>
      <c r="AI1411" s="4"/>
      <c r="AJ1411" s="4"/>
      <c r="AK1411" s="3"/>
      <c r="AL1411" s="3"/>
      <c r="AM1411" s="3"/>
      <c r="AN1411" s="3"/>
      <c r="AO1411" s="4"/>
      <c r="AP1411" s="3"/>
      <c r="AQ1411" s="4"/>
      <c r="AR1411" s="3"/>
      <c r="AS1411" s="3"/>
      <c r="AT1411" s="4"/>
      <c r="AU1411" s="3"/>
      <c r="AV1411" s="4"/>
      <c r="AW1411" s="4"/>
      <c r="AX1411" s="4"/>
      <c r="AY1411" s="4"/>
      <c r="AZ1411" s="4"/>
      <c r="BA1411" s="4"/>
      <c r="BB1411" s="4"/>
      <c r="BC1411" s="4"/>
      <c r="BD1411" s="4"/>
      <c r="BE1411" s="4"/>
      <c r="BF1411" s="3"/>
      <c r="BG1411" s="3"/>
      <c r="BH1411" s="3"/>
      <c r="BI1411" s="4"/>
      <c r="BJ1411" s="3"/>
      <c r="BK1411" s="4"/>
      <c r="BL1411" s="4"/>
      <c r="BM1411" s="3"/>
      <c r="BN1411" s="4"/>
      <c r="BO1411" s="4"/>
      <c r="BP1411" s="4"/>
      <c r="BQ1411" s="4"/>
      <c r="BR1411" s="4"/>
      <c r="BS1411" s="4"/>
      <c r="BT1411" s="4"/>
      <c r="BU1411" s="4"/>
      <c r="BV1411" s="4"/>
      <c r="BW1411" s="4"/>
      <c r="BX1411" s="4"/>
      <c r="BY1411" s="4"/>
      <c r="BZ1411" s="4"/>
      <c r="CA1411" s="4"/>
      <c r="CB1411" s="4"/>
      <c r="CC1411" s="4"/>
      <c r="CD1411" s="4"/>
      <c r="CE1411" s="4"/>
      <c r="CF1411" s="4"/>
      <c r="CG1411" s="4"/>
      <c r="CH1411" s="4"/>
      <c r="CI1411" s="4"/>
      <c r="CJ1411" s="4"/>
      <c r="CK1411" s="4"/>
      <c r="CL1411" s="4"/>
      <c r="CM1411" s="4"/>
      <c r="CN1411" s="4"/>
      <c r="CO1411" s="4"/>
      <c r="CP1411" s="4"/>
      <c r="CQ1411" s="4"/>
      <c r="CR1411" s="4"/>
      <c r="CS1411" s="4"/>
      <c r="CT1411" s="4"/>
      <c r="CU1411" s="4"/>
      <c r="CV1411" s="4"/>
      <c r="CW1411" s="4"/>
      <c r="CX1411" s="3"/>
      <c r="CY1411" s="3"/>
      <c r="CZ1411" s="8"/>
      <c r="DA1411" s="4"/>
      <c r="DB1411" s="4"/>
      <c r="DC1411" s="4"/>
      <c r="DD1411" s="4"/>
      <c r="DE1411" s="8"/>
      <c r="DF1411" s="8"/>
      <c r="DG1411" s="8"/>
      <c r="DH1411" s="8"/>
      <c r="DI1411" s="4"/>
      <c r="DJ1411" s="4"/>
      <c r="DK1411" s="4"/>
      <c r="DL1411" s="4"/>
      <c r="DM1411" s="4"/>
      <c r="DN1411" s="4"/>
      <c r="DO1411" s="4"/>
      <c r="DP1411" s="4"/>
      <c r="DQ1411" s="4"/>
      <c r="DR1411" s="4"/>
      <c r="DS1411" s="4"/>
      <c r="DT1411" s="4"/>
      <c r="DU1411" s="4"/>
      <c r="DV1411" s="4"/>
      <c r="DW1411" s="4"/>
      <c r="DX1411" s="4"/>
      <c r="DY1411" s="4"/>
      <c r="DZ1411" s="4"/>
      <c r="EA1411" s="4"/>
      <c r="EB1411" s="4"/>
      <c r="EC1411" s="8"/>
      <c r="ED1411" s="8"/>
      <c r="EE1411" s="8"/>
      <c r="EF1411" s="8"/>
      <c r="EG1411" s="8"/>
      <c r="EH1411" s="8"/>
      <c r="EI1411" s="4"/>
      <c r="EJ1411" s="4"/>
      <c r="EK1411" s="4"/>
    </row>
    <row r="1412" spans="1:147" hidden="1">
      <c r="A1412" s="11" t="s">
        <v>9940</v>
      </c>
      <c r="B1412" s="3" t="s">
        <v>8373</v>
      </c>
      <c r="C1412" s="3">
        <v>2004</v>
      </c>
      <c r="D1412" s="3" t="s">
        <v>6549</v>
      </c>
      <c r="E1412" s="3" t="s">
        <v>8897</v>
      </c>
      <c r="F1412" s="3">
        <v>1</v>
      </c>
      <c r="G1412" s="3"/>
      <c r="H1412" s="3" t="s">
        <v>6553</v>
      </c>
      <c r="I1412" s="3"/>
      <c r="J1412" s="3"/>
      <c r="K1412" s="3" t="s">
        <v>140</v>
      </c>
      <c r="L1412" s="4"/>
      <c r="M1412" s="3" t="s">
        <v>8898</v>
      </c>
      <c r="T1412" s="3" t="s">
        <v>6551</v>
      </c>
      <c r="V1412" s="3"/>
      <c r="W1412" s="4"/>
      <c r="X1412" s="5" t="s">
        <v>6554</v>
      </c>
      <c r="Y1412" s="5"/>
      <c r="Z1412" s="3">
        <v>1</v>
      </c>
      <c r="AA1412" s="4"/>
      <c r="AB1412" s="4"/>
      <c r="AE1412" s="3"/>
      <c r="AF1412" s="3"/>
      <c r="AG1412" s="4"/>
      <c r="AH1412" s="4"/>
      <c r="AI1412" s="4"/>
      <c r="AJ1412" s="4"/>
      <c r="AK1412" s="3"/>
      <c r="AL1412" s="3"/>
      <c r="AM1412" s="3"/>
      <c r="AN1412" s="3"/>
      <c r="AO1412" s="4"/>
      <c r="AP1412" s="3"/>
      <c r="AQ1412" s="3"/>
      <c r="AR1412" s="3"/>
      <c r="AS1412" s="4"/>
      <c r="AT1412" s="3"/>
      <c r="AU1412" s="4"/>
      <c r="AV1412" s="4"/>
      <c r="AW1412" s="4"/>
      <c r="AX1412" s="4"/>
      <c r="AY1412" s="4"/>
      <c r="AZ1412" s="4"/>
      <c r="BA1412" s="4"/>
      <c r="BB1412" s="4"/>
      <c r="BC1412" s="4"/>
      <c r="BD1412" s="4"/>
      <c r="BE1412" s="3"/>
      <c r="BF1412" s="3"/>
      <c r="BG1412" s="3"/>
      <c r="BH1412" s="4"/>
      <c r="BI1412" s="3"/>
      <c r="BJ1412" s="4"/>
      <c r="BK1412" s="4"/>
      <c r="BL1412" s="3"/>
      <c r="BM1412" s="4"/>
      <c r="BN1412" s="4"/>
      <c r="BO1412" s="4"/>
      <c r="BP1412" s="4"/>
      <c r="BQ1412" s="4"/>
      <c r="BR1412" s="4"/>
      <c r="BS1412" s="4"/>
      <c r="BT1412" s="4"/>
      <c r="BU1412" s="4"/>
      <c r="BV1412" s="4"/>
      <c r="BW1412" s="4"/>
      <c r="BX1412" s="4"/>
      <c r="BY1412" s="4"/>
      <c r="BZ1412" s="4"/>
      <c r="CA1412" s="4"/>
      <c r="CB1412" s="4"/>
      <c r="CC1412" s="4"/>
      <c r="CD1412" s="4"/>
      <c r="CE1412" s="4"/>
      <c r="CF1412" s="4"/>
      <c r="CG1412" s="4"/>
      <c r="CH1412" s="4"/>
      <c r="CI1412" s="4"/>
      <c r="CJ1412" s="3"/>
      <c r="CK1412" s="3"/>
      <c r="CL1412" s="8"/>
      <c r="CM1412" s="4"/>
      <c r="CN1412" s="4"/>
      <c r="CO1412" s="4"/>
      <c r="CP1412" s="4"/>
      <c r="CQ1412" s="8"/>
      <c r="CR1412" s="8"/>
      <c r="CS1412" s="8"/>
      <c r="CT1412" s="8"/>
      <c r="CU1412" s="4"/>
      <c r="CV1412" s="4"/>
      <c r="CW1412" s="4"/>
      <c r="CX1412" s="4"/>
      <c r="CY1412" s="4"/>
      <c r="CZ1412" s="4"/>
      <c r="DA1412" s="4"/>
      <c r="DB1412" s="4"/>
      <c r="DC1412" s="4"/>
      <c r="DD1412" s="4"/>
      <c r="DE1412" s="4"/>
      <c r="DF1412" s="4"/>
      <c r="DG1412" s="4"/>
      <c r="DH1412" s="4"/>
      <c r="DI1412" s="4"/>
      <c r="DJ1412" s="4"/>
      <c r="DK1412" s="4"/>
      <c r="DL1412" s="4"/>
      <c r="DM1412" s="4"/>
      <c r="DN1412" s="4"/>
      <c r="DO1412" s="8"/>
      <c r="DP1412" s="8"/>
      <c r="DQ1412" s="8"/>
      <c r="DR1412" s="8"/>
      <c r="DS1412" s="8"/>
      <c r="DT1412" s="8"/>
      <c r="DU1412" s="4"/>
      <c r="DV1412" s="4"/>
      <c r="DW1412" s="4"/>
    </row>
    <row r="1413" spans="1:147" hidden="1">
      <c r="A1413" s="11" t="s">
        <v>9940</v>
      </c>
      <c r="B1413" s="3" t="s">
        <v>8373</v>
      </c>
      <c r="C1413" s="3">
        <v>2014</v>
      </c>
      <c r="D1413" s="3" t="s">
        <v>5810</v>
      </c>
      <c r="E1413" s="3" t="s">
        <v>9556</v>
      </c>
      <c r="F1413" s="3">
        <v>1</v>
      </c>
      <c r="G1413" s="3"/>
      <c r="H1413" s="3" t="s">
        <v>9557</v>
      </c>
      <c r="I1413" s="3"/>
      <c r="J1413" s="3"/>
      <c r="K1413" s="3" t="s">
        <v>40</v>
      </c>
      <c r="L1413" s="4"/>
      <c r="M1413" s="3" t="s">
        <v>8500</v>
      </c>
      <c r="T1413" s="3" t="s">
        <v>5812</v>
      </c>
      <c r="V1413" s="3"/>
      <c r="W1413" s="3"/>
      <c r="X1413" s="5" t="s">
        <v>5815</v>
      </c>
      <c r="Y1413" s="5"/>
      <c r="Z1413" s="3">
        <v>0</v>
      </c>
      <c r="AA1413" s="3" t="s">
        <v>9558</v>
      </c>
      <c r="AB1413" s="4"/>
      <c r="AE1413" s="3"/>
      <c r="AF1413" s="4"/>
      <c r="AG1413" s="4"/>
      <c r="AH1413" s="4"/>
      <c r="AI1413" s="4"/>
      <c r="AJ1413" s="4"/>
      <c r="AK1413" s="3"/>
      <c r="AL1413" s="3"/>
      <c r="AM1413" s="3"/>
      <c r="AN1413" s="3"/>
      <c r="AO1413" s="4"/>
      <c r="AP1413" s="3"/>
      <c r="AQ1413" s="3"/>
      <c r="AR1413" s="3"/>
      <c r="AS1413" s="4"/>
      <c r="AT1413" s="3"/>
      <c r="AU1413" s="4"/>
      <c r="AV1413" s="4"/>
      <c r="AW1413" s="4"/>
      <c r="AX1413" s="4"/>
      <c r="AY1413" s="4"/>
      <c r="AZ1413" s="4"/>
      <c r="BA1413" s="4"/>
      <c r="BB1413" s="4"/>
      <c r="BC1413" s="4"/>
      <c r="BD1413" s="4"/>
      <c r="BE1413" s="3"/>
      <c r="BF1413" s="3"/>
      <c r="BG1413" s="3"/>
      <c r="BH1413" s="4"/>
      <c r="BI1413" s="3"/>
      <c r="BJ1413" s="4"/>
      <c r="BK1413" s="4"/>
      <c r="BL1413" s="4"/>
      <c r="BM1413" s="3"/>
      <c r="BN1413" s="4"/>
      <c r="BO1413" s="4"/>
      <c r="BP1413" s="4"/>
      <c r="BQ1413" s="4"/>
      <c r="BR1413" s="4"/>
      <c r="BS1413" s="4"/>
      <c r="BT1413" s="4"/>
      <c r="BU1413" s="4"/>
      <c r="BV1413" s="4"/>
      <c r="BW1413" s="4"/>
      <c r="BX1413" s="4"/>
      <c r="BY1413" s="4"/>
      <c r="BZ1413" s="4"/>
      <c r="CA1413" s="4"/>
      <c r="CB1413" s="4"/>
      <c r="CC1413" s="4"/>
      <c r="CD1413" s="4"/>
      <c r="CE1413" s="4"/>
      <c r="CF1413" s="4"/>
      <c r="CG1413" s="4"/>
      <c r="CH1413" s="4"/>
      <c r="CI1413" s="4"/>
      <c r="CJ1413" s="4"/>
      <c r="CK1413" s="4"/>
      <c r="CL1413" s="4"/>
      <c r="CM1413" s="4"/>
      <c r="CN1413" s="4"/>
      <c r="CO1413" s="4"/>
      <c r="CP1413" s="3"/>
      <c r="CQ1413" s="3"/>
      <c r="CR1413" s="4"/>
      <c r="CS1413" s="4"/>
      <c r="CT1413" s="4"/>
      <c r="CU1413" s="4"/>
      <c r="CV1413" s="4"/>
      <c r="CW1413" s="4"/>
      <c r="CX1413" s="4"/>
      <c r="CY1413" s="4"/>
      <c r="CZ1413" s="4"/>
      <c r="DA1413" s="4"/>
      <c r="DB1413" s="4"/>
      <c r="DC1413" s="4"/>
      <c r="DD1413" s="4"/>
      <c r="DE1413" s="4"/>
      <c r="DF1413" s="4"/>
      <c r="DG1413" s="4"/>
      <c r="DH1413" s="4"/>
      <c r="DI1413" s="4"/>
      <c r="DJ1413" s="4"/>
      <c r="DK1413" s="4"/>
      <c r="DL1413" s="4"/>
      <c r="DM1413" s="4"/>
      <c r="DN1413" s="4"/>
      <c r="DO1413" s="4"/>
      <c r="DP1413" s="4"/>
      <c r="DQ1413" s="4"/>
      <c r="DR1413" s="4"/>
      <c r="DS1413" s="4"/>
      <c r="DT1413" s="4"/>
      <c r="DU1413" s="4"/>
      <c r="DV1413" s="4"/>
      <c r="DW1413" s="4"/>
      <c r="DX1413" s="4"/>
      <c r="DY1413" s="4"/>
      <c r="DZ1413" s="4"/>
      <c r="EA1413" s="4"/>
      <c r="EB1413" s="4"/>
      <c r="EC1413" s="4"/>
    </row>
    <row r="1414" spans="1:147" hidden="1">
      <c r="A1414" s="11" t="s">
        <v>9940</v>
      </c>
      <c r="B1414" s="3" t="s">
        <v>8373</v>
      </c>
      <c r="C1414" s="3">
        <v>2003</v>
      </c>
      <c r="D1414" s="3" t="s">
        <v>604</v>
      </c>
      <c r="E1414" s="3" t="s">
        <v>8899</v>
      </c>
      <c r="F1414" s="3">
        <v>1</v>
      </c>
      <c r="G1414" s="3"/>
      <c r="H1414" s="3" t="s">
        <v>609</v>
      </c>
      <c r="I1414" s="3"/>
      <c r="J1414" s="3"/>
      <c r="K1414" s="3" t="s">
        <v>605</v>
      </c>
      <c r="L1414" s="4"/>
      <c r="M1414" s="3" t="s">
        <v>8900</v>
      </c>
      <c r="T1414" s="4"/>
      <c r="V1414" s="3"/>
      <c r="W1414" s="3"/>
      <c r="X1414" s="5" t="s">
        <v>610</v>
      </c>
      <c r="Y1414" s="5"/>
      <c r="Z1414" s="3">
        <v>1</v>
      </c>
      <c r="AA1414" s="4"/>
      <c r="AB1414" s="4"/>
      <c r="AE1414" s="3"/>
      <c r="AF1414" s="3"/>
      <c r="AG1414" s="4"/>
      <c r="AH1414" s="4"/>
      <c r="AI1414" s="3"/>
      <c r="AJ1414" s="3"/>
      <c r="AK1414" s="3"/>
      <c r="AL1414" s="3"/>
      <c r="AM1414" s="3"/>
      <c r="AN1414" s="3"/>
      <c r="AO1414" s="4"/>
      <c r="AP1414" s="3"/>
      <c r="AQ1414" s="4"/>
      <c r="AR1414" s="3"/>
      <c r="AS1414" s="3"/>
      <c r="AT1414" s="4"/>
      <c r="AU1414" s="3"/>
      <c r="AV1414" s="4"/>
      <c r="AW1414" s="4"/>
      <c r="AX1414" s="4"/>
      <c r="AY1414" s="4"/>
      <c r="AZ1414" s="4"/>
      <c r="BA1414" s="4"/>
      <c r="BB1414" s="4"/>
      <c r="BC1414" s="4"/>
      <c r="BD1414" s="4"/>
      <c r="BE1414" s="4"/>
      <c r="BF1414" s="3"/>
      <c r="BG1414" s="3"/>
      <c r="BH1414" s="3"/>
      <c r="BI1414" s="4"/>
      <c r="BJ1414" s="3"/>
      <c r="BK1414" s="4"/>
      <c r="BL1414" s="4"/>
      <c r="BM1414" s="3"/>
      <c r="BN1414" s="4"/>
      <c r="BO1414" s="4"/>
      <c r="BP1414" s="4"/>
      <c r="BQ1414" s="4"/>
      <c r="BR1414" s="4"/>
      <c r="BS1414" s="4"/>
      <c r="BT1414" s="4"/>
      <c r="BU1414" s="4"/>
      <c r="BV1414" s="4"/>
      <c r="BW1414" s="4"/>
      <c r="BX1414" s="4"/>
      <c r="BY1414" s="4"/>
      <c r="BZ1414" s="4"/>
      <c r="CA1414" s="4"/>
      <c r="CB1414" s="4"/>
      <c r="CC1414" s="4"/>
      <c r="CD1414" s="4"/>
      <c r="CE1414" s="3"/>
      <c r="CF1414" s="3"/>
      <c r="CG1414" s="8"/>
      <c r="CH1414" s="4"/>
      <c r="CI1414" s="4"/>
      <c r="CJ1414" s="4"/>
      <c r="CK1414" s="4"/>
      <c r="CL1414" s="8"/>
      <c r="CM1414" s="8"/>
      <c r="CN1414" s="8"/>
      <c r="CO1414" s="8"/>
      <c r="CP1414" s="4"/>
      <c r="CQ1414" s="4"/>
      <c r="CR1414" s="4"/>
      <c r="CS1414" s="4"/>
      <c r="CT1414" s="4"/>
      <c r="CU1414" s="4"/>
      <c r="CV1414" s="4"/>
      <c r="CW1414" s="4"/>
      <c r="CX1414" s="4"/>
      <c r="CY1414" s="4"/>
      <c r="CZ1414" s="4"/>
      <c r="DA1414" s="4"/>
      <c r="DB1414" s="4"/>
      <c r="DC1414" s="4"/>
      <c r="DD1414" s="4"/>
      <c r="DE1414" s="4"/>
      <c r="DF1414" s="4"/>
      <c r="DG1414" s="4"/>
      <c r="DH1414" s="4"/>
      <c r="DI1414" s="4"/>
      <c r="DJ1414" s="8"/>
      <c r="DK1414" s="8"/>
      <c r="DL1414" s="8"/>
      <c r="DM1414" s="8"/>
      <c r="DN1414" s="8"/>
      <c r="DO1414" s="8"/>
      <c r="DP1414" s="4"/>
      <c r="DQ1414" s="4"/>
      <c r="DR1414" s="4"/>
    </row>
    <row r="1415" spans="1:147" hidden="1">
      <c r="A1415" s="11" t="s">
        <v>9940</v>
      </c>
      <c r="B1415" s="3" t="s">
        <v>8373</v>
      </c>
      <c r="C1415" s="3">
        <v>2004</v>
      </c>
      <c r="D1415" s="3" t="s">
        <v>8901</v>
      </c>
      <c r="E1415" s="3" t="s">
        <v>8902</v>
      </c>
      <c r="F1415" s="3">
        <v>1</v>
      </c>
      <c r="G1415" s="3"/>
      <c r="H1415" s="3" t="s">
        <v>8905</v>
      </c>
      <c r="I1415" s="3"/>
      <c r="J1415" s="3"/>
      <c r="K1415" s="3" t="s">
        <v>132</v>
      </c>
      <c r="L1415" s="4"/>
      <c r="M1415" s="3" t="s">
        <v>8382</v>
      </c>
      <c r="T1415" s="3" t="s">
        <v>8903</v>
      </c>
      <c r="V1415" s="3"/>
      <c r="W1415" s="4"/>
      <c r="X1415" s="5" t="s">
        <v>8904</v>
      </c>
      <c r="Y1415" s="5"/>
      <c r="Z1415" s="3">
        <v>1</v>
      </c>
      <c r="AA1415" s="4"/>
      <c r="AB1415" s="3"/>
      <c r="AE1415" s="3"/>
      <c r="AF1415" s="3"/>
      <c r="AG1415" s="4"/>
      <c r="AH1415" s="4"/>
      <c r="AI1415" s="4"/>
      <c r="AJ1415" s="4"/>
      <c r="AK1415" s="3"/>
      <c r="AL1415" s="3"/>
      <c r="AM1415" s="3"/>
      <c r="AN1415" s="3"/>
      <c r="AO1415" s="4"/>
      <c r="AP1415" s="3"/>
      <c r="AQ1415" s="4"/>
      <c r="AR1415" s="3"/>
      <c r="AS1415" s="3"/>
      <c r="AT1415" s="4"/>
      <c r="AU1415" s="3"/>
      <c r="AV1415" s="4"/>
      <c r="AW1415" s="4"/>
      <c r="AX1415" s="4"/>
      <c r="AY1415" s="4"/>
      <c r="AZ1415" s="4"/>
      <c r="BA1415" s="4"/>
      <c r="BB1415" s="4"/>
      <c r="BC1415" s="4"/>
      <c r="BD1415" s="4"/>
      <c r="BE1415" s="4"/>
      <c r="BF1415" s="3"/>
      <c r="BG1415" s="3"/>
      <c r="BH1415" s="3"/>
      <c r="BI1415" s="4"/>
      <c r="BJ1415" s="3"/>
      <c r="BK1415" s="4"/>
      <c r="BL1415" s="4"/>
      <c r="BM1415" s="3"/>
      <c r="BN1415" s="4"/>
      <c r="BO1415" s="4"/>
      <c r="BP1415" s="4"/>
      <c r="BQ1415" s="4"/>
      <c r="BR1415" s="4"/>
      <c r="BS1415" s="4"/>
      <c r="BT1415" s="4"/>
      <c r="BU1415" s="4"/>
      <c r="BV1415" s="4"/>
      <c r="BW1415" s="4"/>
      <c r="BX1415" s="4"/>
      <c r="BY1415" s="4"/>
      <c r="BZ1415" s="4"/>
      <c r="CA1415" s="4"/>
      <c r="CB1415" s="4"/>
      <c r="CC1415" s="4"/>
      <c r="CD1415" s="4"/>
      <c r="CE1415" s="4"/>
      <c r="CF1415" s="4"/>
      <c r="CG1415" s="4"/>
      <c r="CH1415" s="4"/>
      <c r="CI1415" s="4"/>
      <c r="CJ1415" s="4"/>
      <c r="CK1415" s="4"/>
      <c r="CL1415" s="4"/>
      <c r="CM1415" s="4"/>
      <c r="CN1415" s="4"/>
      <c r="CO1415" s="4"/>
      <c r="CP1415" s="4"/>
      <c r="CQ1415" s="4"/>
      <c r="CR1415" s="4"/>
      <c r="CS1415" s="4"/>
      <c r="CT1415" s="4"/>
      <c r="CU1415" s="4"/>
      <c r="CV1415" s="4"/>
      <c r="CW1415" s="4"/>
      <c r="CX1415" s="4"/>
      <c r="CY1415" s="4"/>
      <c r="CZ1415" s="4"/>
      <c r="DA1415" s="4"/>
      <c r="DB1415" s="4"/>
      <c r="DC1415" s="4"/>
      <c r="DD1415" s="3"/>
      <c r="DE1415" s="3"/>
      <c r="DF1415" s="8"/>
      <c r="DG1415" s="4"/>
      <c r="DH1415" s="4"/>
      <c r="DI1415" s="4"/>
      <c r="DJ1415" s="4"/>
      <c r="DK1415" s="8"/>
      <c r="DL1415" s="8"/>
      <c r="DM1415" s="8"/>
      <c r="DN1415" s="8"/>
      <c r="DO1415" s="4"/>
      <c r="DP1415" s="4"/>
      <c r="DQ1415" s="4"/>
      <c r="DR1415" s="4"/>
      <c r="DS1415" s="4"/>
      <c r="DT1415" s="4"/>
      <c r="DU1415" s="4"/>
      <c r="DV1415" s="4"/>
      <c r="DW1415" s="4"/>
      <c r="DX1415" s="4"/>
      <c r="DY1415" s="4"/>
      <c r="DZ1415" s="4"/>
      <c r="EA1415" s="4"/>
      <c r="EB1415" s="4"/>
      <c r="EC1415" s="4"/>
      <c r="ED1415" s="4"/>
      <c r="EE1415" s="4"/>
      <c r="EF1415" s="4"/>
      <c r="EG1415" s="4"/>
      <c r="EH1415" s="4"/>
      <c r="EI1415" s="8"/>
      <c r="EJ1415" s="8"/>
      <c r="EK1415" s="8"/>
      <c r="EL1415" s="8"/>
      <c r="EM1415" s="8"/>
      <c r="EN1415" s="8"/>
      <c r="EO1415" s="4"/>
      <c r="EP1415" s="4"/>
      <c r="EQ1415" s="4"/>
    </row>
    <row r="1416" spans="1:147" hidden="1">
      <c r="A1416" s="11" t="s">
        <v>9940</v>
      </c>
      <c r="B1416" s="3" t="s">
        <v>8373</v>
      </c>
      <c r="C1416" s="3">
        <v>2004</v>
      </c>
      <c r="D1416" s="3" t="s">
        <v>892</v>
      </c>
      <c r="E1416" s="3" t="s">
        <v>8906</v>
      </c>
      <c r="F1416" s="3">
        <v>1</v>
      </c>
      <c r="G1416" s="3"/>
      <c r="H1416" s="3" t="s">
        <v>897</v>
      </c>
      <c r="I1416" s="3"/>
      <c r="J1416" s="3"/>
      <c r="K1416" s="3" t="s">
        <v>893</v>
      </c>
      <c r="L1416" s="4"/>
      <c r="M1416" s="3" t="s">
        <v>8871</v>
      </c>
      <c r="T1416" s="3" t="s">
        <v>895</v>
      </c>
      <c r="V1416" s="3"/>
      <c r="W1416" s="4"/>
      <c r="X1416" s="5" t="s">
        <v>898</v>
      </c>
      <c r="Y1416" s="5"/>
      <c r="Z1416" s="3">
        <v>1</v>
      </c>
      <c r="AA1416" s="4"/>
      <c r="AB1416" s="3"/>
      <c r="AE1416" s="3"/>
      <c r="AF1416" s="3"/>
      <c r="AG1416" s="4"/>
      <c r="AH1416" s="4"/>
      <c r="AI1416" s="4"/>
      <c r="AJ1416" s="4"/>
      <c r="AK1416" s="3"/>
      <c r="AL1416" s="3"/>
      <c r="AM1416" s="3"/>
      <c r="AN1416" s="3"/>
      <c r="AO1416" s="4"/>
      <c r="AP1416" s="3"/>
      <c r="AQ1416" s="4"/>
      <c r="AR1416" s="3"/>
      <c r="AS1416" s="3"/>
      <c r="AT1416" s="4"/>
      <c r="AU1416" s="3"/>
      <c r="AV1416" s="4"/>
      <c r="AW1416" s="4"/>
      <c r="AX1416" s="4"/>
      <c r="AY1416" s="4"/>
      <c r="AZ1416" s="4"/>
      <c r="BA1416" s="4"/>
      <c r="BB1416" s="4"/>
      <c r="BC1416" s="4"/>
      <c r="BD1416" s="4"/>
      <c r="BE1416" s="4"/>
      <c r="BF1416" s="3"/>
      <c r="BG1416" s="3"/>
      <c r="BH1416" s="3"/>
      <c r="BI1416" s="4"/>
      <c r="BJ1416" s="3"/>
      <c r="BK1416" s="4"/>
      <c r="BL1416" s="4"/>
      <c r="BM1416" s="3"/>
      <c r="BN1416" s="4"/>
      <c r="BO1416" s="4"/>
      <c r="BP1416" s="4"/>
      <c r="BQ1416" s="4"/>
      <c r="BR1416" s="4"/>
      <c r="BS1416" s="4"/>
      <c r="BT1416" s="4"/>
      <c r="BU1416" s="4"/>
      <c r="BV1416" s="4"/>
      <c r="BW1416" s="4"/>
      <c r="BX1416" s="4"/>
      <c r="BY1416" s="4"/>
      <c r="BZ1416" s="4"/>
      <c r="CA1416" s="4"/>
      <c r="CB1416" s="4"/>
      <c r="CC1416" s="4"/>
      <c r="CD1416" s="4"/>
      <c r="CE1416" s="4"/>
      <c r="CF1416" s="4"/>
      <c r="CG1416" s="4"/>
      <c r="CH1416" s="4"/>
      <c r="CI1416" s="4"/>
      <c r="CJ1416" s="4"/>
      <c r="CK1416" s="4"/>
      <c r="CL1416" s="4"/>
      <c r="CM1416" s="4"/>
      <c r="CN1416" s="4"/>
      <c r="CO1416" s="4"/>
      <c r="CP1416" s="4"/>
      <c r="CQ1416" s="3"/>
      <c r="CR1416" s="3"/>
      <c r="CS1416" s="8"/>
      <c r="CT1416" s="4"/>
      <c r="CU1416" s="4"/>
      <c r="CV1416" s="4"/>
      <c r="CW1416" s="4"/>
      <c r="CX1416" s="8"/>
      <c r="CY1416" s="8"/>
      <c r="CZ1416" s="8"/>
      <c r="DA1416" s="8"/>
      <c r="DB1416" s="4"/>
      <c r="DC1416" s="4"/>
      <c r="DD1416" s="4"/>
      <c r="DE1416" s="4"/>
      <c r="DF1416" s="8"/>
      <c r="DG1416" s="4"/>
      <c r="DH1416" s="4"/>
      <c r="DI1416" s="4"/>
      <c r="DJ1416" s="4"/>
      <c r="DK1416" s="4"/>
      <c r="DL1416" s="4"/>
      <c r="DM1416" s="4"/>
      <c r="DN1416" s="4"/>
      <c r="DO1416" s="4"/>
      <c r="DP1416" s="4"/>
      <c r="DQ1416" s="4"/>
      <c r="DR1416" s="4"/>
      <c r="DS1416" s="4"/>
      <c r="DT1416" s="4"/>
      <c r="DU1416" s="4"/>
      <c r="DV1416" s="8"/>
      <c r="DW1416" s="8"/>
      <c r="DX1416" s="8"/>
      <c r="DY1416" s="8"/>
      <c r="DZ1416" s="8"/>
      <c r="EA1416" s="8"/>
      <c r="EB1416" s="4"/>
      <c r="EC1416" s="4"/>
      <c r="ED1416" s="4"/>
    </row>
    <row r="1417" spans="1:147" hidden="1">
      <c r="A1417" s="11" t="s">
        <v>9940</v>
      </c>
      <c r="B1417" s="3" t="s">
        <v>8373</v>
      </c>
      <c r="C1417" s="3">
        <v>2017</v>
      </c>
      <c r="D1417" s="3" t="s">
        <v>2794</v>
      </c>
      <c r="E1417" s="3" t="s">
        <v>9559</v>
      </c>
      <c r="F1417" s="3">
        <v>0</v>
      </c>
      <c r="G1417" s="3" t="s">
        <v>9178</v>
      </c>
      <c r="H1417" s="3" t="s">
        <v>9561</v>
      </c>
      <c r="I1417" s="3"/>
      <c r="J1417" s="3"/>
      <c r="K1417" s="3" t="s">
        <v>2795</v>
      </c>
      <c r="L1417" s="4"/>
      <c r="M1417" s="3" t="s">
        <v>9560</v>
      </c>
      <c r="T1417" s="3" t="s">
        <v>2797</v>
      </c>
      <c r="V1417" s="4"/>
      <c r="W1417" s="4"/>
      <c r="X1417" s="5" t="s">
        <v>2800</v>
      </c>
      <c r="Y1417" s="5"/>
      <c r="Z1417" s="4"/>
      <c r="AA1417" s="4"/>
      <c r="AB1417" s="4"/>
      <c r="AE1417" s="4"/>
      <c r="AF1417" s="4"/>
      <c r="AG1417" s="3"/>
      <c r="AH1417" s="3"/>
      <c r="AI1417" s="3"/>
      <c r="AJ1417" s="3"/>
      <c r="AK1417" s="4"/>
      <c r="AL1417" s="3"/>
      <c r="AM1417" s="4"/>
      <c r="AN1417" s="3"/>
      <c r="AO1417" s="3"/>
      <c r="AP1417" s="4"/>
      <c r="AQ1417" s="3"/>
      <c r="AR1417" s="4"/>
      <c r="AS1417" s="4"/>
      <c r="AT1417" s="4"/>
      <c r="AU1417" s="4"/>
      <c r="AV1417" s="4"/>
      <c r="AW1417" s="4"/>
      <c r="AX1417" s="4"/>
      <c r="AY1417" s="4"/>
      <c r="AZ1417" s="4"/>
      <c r="BA1417" s="4"/>
      <c r="BB1417" s="3"/>
      <c r="BC1417" s="3"/>
      <c r="BD1417" s="3"/>
      <c r="BE1417" s="4"/>
      <c r="BF1417" s="3"/>
      <c r="BG1417" s="4"/>
      <c r="BH1417" s="4"/>
      <c r="BI1417" s="4"/>
      <c r="BJ1417" s="3"/>
      <c r="BK1417" s="4"/>
      <c r="BL1417" s="4"/>
      <c r="BM1417" s="4"/>
      <c r="BN1417" s="4"/>
      <c r="BO1417" s="4"/>
      <c r="BP1417" s="4"/>
      <c r="BQ1417" s="4"/>
      <c r="BR1417" s="4"/>
      <c r="BS1417" s="4"/>
      <c r="BT1417" s="4"/>
      <c r="BU1417" s="4"/>
      <c r="BV1417" s="4"/>
      <c r="BW1417" s="4"/>
      <c r="BX1417" s="4"/>
      <c r="BY1417" s="4"/>
      <c r="BZ1417" s="4"/>
      <c r="CA1417" s="4"/>
      <c r="CB1417" s="4"/>
      <c r="CC1417" s="4"/>
      <c r="CD1417" s="4"/>
      <c r="CE1417" s="4"/>
      <c r="CF1417" s="4"/>
      <c r="CG1417" s="4"/>
      <c r="CH1417" s="4"/>
      <c r="CI1417" s="4"/>
      <c r="CJ1417" s="4"/>
      <c r="CK1417" s="4"/>
      <c r="CL1417" s="4"/>
      <c r="CM1417" s="4"/>
      <c r="CN1417" s="4"/>
      <c r="CO1417" s="4"/>
      <c r="CP1417" s="4"/>
      <c r="CQ1417" s="4"/>
      <c r="CR1417" s="4"/>
      <c r="CS1417" s="4"/>
      <c r="CT1417" s="4"/>
      <c r="CU1417" s="4"/>
      <c r="CV1417" s="4"/>
      <c r="CW1417" s="4"/>
      <c r="CX1417" s="4"/>
      <c r="CY1417" s="4"/>
      <c r="CZ1417" s="3"/>
      <c r="DA1417" s="3"/>
      <c r="DB1417" s="4"/>
      <c r="DC1417" s="4"/>
      <c r="DD1417" s="4"/>
      <c r="DE1417" s="4"/>
      <c r="DF1417" s="4"/>
      <c r="DG1417" s="4"/>
      <c r="DH1417" s="4"/>
      <c r="DI1417" s="4"/>
      <c r="DJ1417" s="4"/>
      <c r="DK1417" s="4"/>
      <c r="DL1417" s="4"/>
      <c r="DM1417" s="4"/>
      <c r="DN1417" s="4"/>
      <c r="DO1417" s="4"/>
      <c r="DP1417" s="4"/>
      <c r="DQ1417" s="4"/>
      <c r="DR1417" s="4"/>
      <c r="DS1417" s="4"/>
      <c r="DT1417" s="4"/>
      <c r="DU1417" s="4"/>
      <c r="DV1417" s="4"/>
      <c r="DW1417" s="4"/>
      <c r="DX1417" s="4"/>
      <c r="DY1417" s="4"/>
      <c r="DZ1417" s="4"/>
      <c r="EA1417" s="4"/>
      <c r="EB1417" s="4"/>
      <c r="EC1417" s="4"/>
      <c r="ED1417" s="4"/>
      <c r="EE1417" s="4"/>
      <c r="EF1417" s="4"/>
      <c r="EG1417" s="4"/>
      <c r="EH1417" s="4"/>
      <c r="EI1417" s="4"/>
      <c r="EJ1417" s="4"/>
      <c r="EK1417" s="4"/>
      <c r="EL1417" s="4"/>
      <c r="EM1417" s="4"/>
    </row>
    <row r="1418" spans="1:147" hidden="1">
      <c r="A1418" s="11" t="s">
        <v>9940</v>
      </c>
      <c r="B1418" s="3" t="s">
        <v>8373</v>
      </c>
      <c r="C1418" s="3">
        <v>2016</v>
      </c>
      <c r="D1418" s="3" t="s">
        <v>4007</v>
      </c>
      <c r="E1418" s="3" t="s">
        <v>9562</v>
      </c>
      <c r="F1418" s="3">
        <v>0</v>
      </c>
      <c r="G1418" s="3" t="s">
        <v>9265</v>
      </c>
      <c r="H1418" s="3" t="s">
        <v>4011</v>
      </c>
      <c r="I1418" s="3"/>
      <c r="J1418" s="3"/>
      <c r="K1418" s="3" t="s">
        <v>703</v>
      </c>
      <c r="L1418" s="4"/>
      <c r="M1418" s="3" t="s">
        <v>8801</v>
      </c>
      <c r="T1418" s="3" t="s">
        <v>4009</v>
      </c>
      <c r="V1418" s="4"/>
      <c r="W1418" s="4"/>
      <c r="X1418" s="5" t="s">
        <v>4012</v>
      </c>
      <c r="Y1418" s="5"/>
      <c r="Z1418" s="4"/>
      <c r="AA1418" s="4"/>
      <c r="AB1418" s="4"/>
      <c r="AE1418" s="4"/>
      <c r="AF1418" s="4"/>
      <c r="AG1418" s="3"/>
      <c r="AH1418" s="3"/>
      <c r="AI1418" s="3"/>
      <c r="AJ1418" s="3"/>
      <c r="AK1418" s="4"/>
      <c r="AL1418" s="3"/>
      <c r="AM1418" s="4"/>
      <c r="AN1418" s="3"/>
      <c r="AO1418" s="3"/>
      <c r="AP1418" s="4"/>
      <c r="AQ1418" s="3"/>
      <c r="AR1418" s="4"/>
      <c r="AS1418" s="4"/>
      <c r="AT1418" s="4"/>
      <c r="AU1418" s="4"/>
      <c r="AV1418" s="4"/>
      <c r="AW1418" s="4"/>
      <c r="AX1418" s="4"/>
      <c r="AY1418" s="4"/>
      <c r="AZ1418" s="4"/>
      <c r="BA1418" s="4"/>
      <c r="BB1418" s="3"/>
      <c r="BC1418" s="3"/>
      <c r="BD1418" s="3"/>
      <c r="BE1418" s="4"/>
      <c r="BF1418" s="3"/>
      <c r="BG1418" s="4"/>
      <c r="BH1418" s="4"/>
      <c r="BI1418" s="3"/>
      <c r="BJ1418" s="4"/>
      <c r="BK1418" s="4"/>
      <c r="BL1418" s="4"/>
      <c r="BM1418" s="4"/>
      <c r="BN1418" s="4"/>
      <c r="BO1418" s="4"/>
      <c r="BP1418" s="4"/>
      <c r="BQ1418" s="4"/>
      <c r="BR1418" s="4"/>
      <c r="BS1418" s="4"/>
      <c r="BT1418" s="4"/>
      <c r="BU1418" s="4"/>
      <c r="BV1418" s="4"/>
      <c r="BW1418" s="4"/>
      <c r="BX1418" s="4"/>
      <c r="BY1418" s="4"/>
      <c r="BZ1418" s="4"/>
      <c r="CA1418" s="4"/>
      <c r="CB1418" s="4"/>
      <c r="CC1418" s="4"/>
      <c r="CD1418" s="4"/>
      <c r="CE1418" s="4"/>
      <c r="CF1418" s="4"/>
      <c r="CG1418" s="4"/>
      <c r="CH1418" s="4"/>
      <c r="CI1418" s="4"/>
      <c r="CJ1418" s="4"/>
      <c r="CK1418" s="4"/>
      <c r="CL1418" s="4"/>
      <c r="CM1418" s="4"/>
      <c r="CN1418" s="4"/>
      <c r="CO1418" s="4"/>
      <c r="CP1418" s="4"/>
      <c r="CQ1418" s="4"/>
      <c r="CR1418" s="4"/>
      <c r="CS1418" s="4"/>
      <c r="CT1418" s="4"/>
      <c r="CU1418" s="4"/>
      <c r="CV1418" s="4"/>
      <c r="CW1418" s="4"/>
      <c r="CX1418" s="4"/>
      <c r="CY1418" s="4"/>
      <c r="CZ1418" s="4"/>
      <c r="DA1418" s="4"/>
      <c r="DB1418" s="4"/>
      <c r="DC1418" s="3"/>
      <c r="DD1418" s="3"/>
      <c r="DE1418" s="4"/>
      <c r="DF1418" s="4"/>
      <c r="DG1418" s="4"/>
      <c r="DH1418" s="4"/>
      <c r="DI1418" s="4"/>
      <c r="DJ1418" s="4"/>
      <c r="DK1418" s="4"/>
      <c r="DL1418" s="4"/>
      <c r="DM1418" s="4"/>
      <c r="DN1418" s="4"/>
      <c r="DO1418" s="4"/>
      <c r="DP1418" s="4"/>
      <c r="DQ1418" s="4"/>
      <c r="DR1418" s="4"/>
      <c r="DS1418" s="4"/>
      <c r="DT1418" s="4"/>
      <c r="DU1418" s="4"/>
      <c r="DV1418" s="4"/>
      <c r="DW1418" s="4"/>
      <c r="DX1418" s="4"/>
      <c r="DY1418" s="4"/>
      <c r="DZ1418" s="4"/>
      <c r="EA1418" s="4"/>
      <c r="EB1418" s="4"/>
      <c r="EC1418" s="4"/>
      <c r="ED1418" s="4"/>
      <c r="EE1418" s="4"/>
      <c r="EF1418" s="4"/>
      <c r="EG1418" s="4"/>
      <c r="EH1418" s="4"/>
      <c r="EI1418" s="4"/>
      <c r="EJ1418" s="4"/>
      <c r="EK1418" s="4"/>
      <c r="EL1418" s="4"/>
      <c r="EM1418" s="4"/>
      <c r="EN1418" s="4"/>
      <c r="EO1418" s="4"/>
      <c r="EP1418" s="4"/>
    </row>
    <row r="1419" spans="1:147" hidden="1">
      <c r="A1419" s="11" t="s">
        <v>9940</v>
      </c>
      <c r="B1419" s="3" t="s">
        <v>8373</v>
      </c>
      <c r="C1419" s="3">
        <v>2018</v>
      </c>
      <c r="D1419" s="3" t="s">
        <v>9563</v>
      </c>
      <c r="E1419" s="3" t="s">
        <v>9564</v>
      </c>
      <c r="F1419" s="3">
        <v>1</v>
      </c>
      <c r="G1419" s="3"/>
      <c r="H1419" s="3" t="s">
        <v>9566</v>
      </c>
      <c r="I1419" s="3"/>
      <c r="J1419" s="3"/>
      <c r="K1419" s="3" t="s">
        <v>2650</v>
      </c>
      <c r="L1419" s="4"/>
      <c r="M1419" s="3" t="s">
        <v>9565</v>
      </c>
      <c r="T1419" s="3" t="s">
        <v>2652</v>
      </c>
      <c r="V1419" s="3"/>
      <c r="W1419" s="3"/>
      <c r="X1419" s="5" t="s">
        <v>2655</v>
      </c>
      <c r="Y1419" s="5"/>
      <c r="Z1419" s="3">
        <v>0</v>
      </c>
      <c r="AA1419" s="3" t="s">
        <v>9237</v>
      </c>
      <c r="AB1419" s="4"/>
      <c r="AE1419" s="3"/>
      <c r="AF1419" s="4"/>
      <c r="AG1419" s="4"/>
      <c r="AH1419" s="4"/>
      <c r="AI1419" s="4"/>
      <c r="AJ1419" s="4"/>
      <c r="AK1419" s="3"/>
      <c r="AL1419" s="3"/>
      <c r="AM1419" s="3"/>
      <c r="AN1419" s="3"/>
      <c r="AO1419" s="4"/>
      <c r="AP1419" s="3"/>
      <c r="AQ1419" s="4"/>
      <c r="AR1419" s="3"/>
      <c r="AS1419" s="3"/>
      <c r="AT1419" s="4"/>
      <c r="AU1419" s="3"/>
      <c r="AV1419" s="4"/>
      <c r="AW1419" s="4"/>
      <c r="AX1419" s="4"/>
      <c r="AY1419" s="4"/>
      <c r="AZ1419" s="4"/>
      <c r="BA1419" s="4"/>
      <c r="BB1419" s="4"/>
      <c r="BC1419" s="4"/>
      <c r="BD1419" s="4"/>
      <c r="BE1419" s="4"/>
      <c r="BF1419" s="3"/>
      <c r="BG1419" s="3"/>
      <c r="BH1419" s="3"/>
      <c r="BI1419" s="4"/>
      <c r="BJ1419" s="3"/>
      <c r="BK1419" s="4"/>
      <c r="BL1419" s="4"/>
      <c r="BM1419" s="3"/>
      <c r="BN1419" s="4"/>
      <c r="BO1419" s="4"/>
      <c r="BP1419" s="4"/>
      <c r="BQ1419" s="4"/>
      <c r="BR1419" s="4"/>
      <c r="BS1419" s="4"/>
      <c r="BT1419" s="4"/>
      <c r="BU1419" s="4"/>
      <c r="BV1419" s="4"/>
      <c r="BW1419" s="4"/>
      <c r="BX1419" s="4"/>
      <c r="BY1419" s="4"/>
      <c r="BZ1419" s="4"/>
      <c r="CA1419" s="4"/>
      <c r="CB1419" s="4"/>
      <c r="CC1419" s="4"/>
      <c r="CD1419" s="4"/>
      <c r="CE1419" s="4"/>
      <c r="CF1419" s="4"/>
      <c r="CG1419" s="4"/>
      <c r="CH1419" s="4"/>
      <c r="CI1419" s="4"/>
      <c r="CJ1419" s="4"/>
      <c r="CK1419" s="4"/>
      <c r="CL1419" s="4"/>
      <c r="CM1419" s="4"/>
      <c r="CN1419" s="4"/>
      <c r="CO1419" s="4"/>
      <c r="CP1419" s="4"/>
      <c r="CQ1419" s="4"/>
      <c r="CR1419" s="4"/>
      <c r="CS1419" s="4"/>
      <c r="CT1419" s="4"/>
      <c r="CU1419" s="4"/>
      <c r="CV1419" s="4"/>
      <c r="CW1419" s="4"/>
      <c r="CX1419" s="4"/>
      <c r="CY1419" s="4"/>
      <c r="CZ1419" s="4"/>
      <c r="DA1419" s="4"/>
      <c r="DB1419" s="4"/>
      <c r="DC1419" s="3"/>
      <c r="DD1419" s="3"/>
      <c r="DE1419" s="4"/>
      <c r="DF1419" s="4"/>
      <c r="DG1419" s="4"/>
      <c r="DH1419" s="4"/>
      <c r="DI1419" s="4"/>
      <c r="DJ1419" s="4"/>
      <c r="DK1419" s="4"/>
      <c r="DL1419" s="4"/>
      <c r="DM1419" s="4"/>
      <c r="DN1419" s="4"/>
      <c r="DO1419" s="4"/>
      <c r="DP1419" s="4"/>
      <c r="DQ1419" s="4"/>
      <c r="DR1419" s="4"/>
      <c r="DS1419" s="4"/>
      <c r="DT1419" s="4"/>
      <c r="DU1419" s="4"/>
      <c r="DV1419" s="4"/>
      <c r="DW1419" s="4"/>
      <c r="DX1419" s="4"/>
      <c r="DY1419" s="4"/>
      <c r="DZ1419" s="4"/>
      <c r="EA1419" s="4"/>
      <c r="EB1419" s="4"/>
      <c r="EC1419" s="4"/>
      <c r="ED1419" s="4"/>
      <c r="EE1419" s="4"/>
      <c r="EF1419" s="4"/>
      <c r="EG1419" s="4"/>
      <c r="EH1419" s="4"/>
      <c r="EI1419" s="4"/>
      <c r="EJ1419" s="4"/>
      <c r="EK1419" s="4"/>
      <c r="EL1419" s="4"/>
      <c r="EM1419" s="4"/>
      <c r="EN1419" s="4"/>
      <c r="EO1419" s="4"/>
      <c r="EP1419" s="4"/>
    </row>
    <row r="1420" spans="1:147" hidden="1">
      <c r="A1420" s="11" t="s">
        <v>9940</v>
      </c>
      <c r="B1420" s="3" t="s">
        <v>8379</v>
      </c>
      <c r="C1420" s="3">
        <v>2016</v>
      </c>
      <c r="D1420" s="3" t="s">
        <v>7271</v>
      </c>
      <c r="E1420" s="3" t="s">
        <v>8907</v>
      </c>
      <c r="F1420" s="3">
        <v>1</v>
      </c>
      <c r="G1420" s="4"/>
      <c r="H1420" s="3" t="s">
        <v>7274</v>
      </c>
      <c r="I1420" s="3"/>
      <c r="J1420" s="3"/>
      <c r="K1420" s="4"/>
      <c r="L1420" s="4"/>
      <c r="M1420" s="4"/>
      <c r="T1420" s="4"/>
      <c r="V1420" s="3"/>
      <c r="W1420" s="4"/>
      <c r="X1420" s="5" t="s">
        <v>7275</v>
      </c>
      <c r="Y1420" s="5"/>
      <c r="Z1420" s="3">
        <v>1</v>
      </c>
      <c r="AA1420" s="4"/>
      <c r="AB1420" s="3"/>
      <c r="AE1420" s="3"/>
      <c r="AF1420" s="3"/>
      <c r="AG1420" s="3"/>
      <c r="AH1420" s="4"/>
      <c r="AI1420" s="4"/>
      <c r="AJ1420" s="4"/>
      <c r="AK1420" s="3"/>
      <c r="AL1420" s="3"/>
      <c r="AM1420" s="3"/>
      <c r="AN1420" s="3"/>
      <c r="AO1420" s="4"/>
      <c r="AP1420" s="4"/>
      <c r="AQ1420" s="4"/>
      <c r="AR1420" s="4"/>
      <c r="AS1420" s="4"/>
      <c r="AT1420" s="4"/>
      <c r="AU1420" s="4"/>
      <c r="AV1420" s="4"/>
      <c r="AW1420" s="4"/>
      <c r="AX1420" s="4"/>
      <c r="AY1420" s="4"/>
      <c r="AZ1420" s="4"/>
      <c r="BA1420" s="3"/>
      <c r="BB1420" s="4"/>
      <c r="BC1420" s="3"/>
      <c r="BD1420" s="3"/>
      <c r="BE1420" s="3"/>
      <c r="BF1420" s="4"/>
      <c r="BG1420" s="3"/>
      <c r="BH1420" s="3"/>
      <c r="BI1420" s="4"/>
      <c r="BJ1420" s="4"/>
      <c r="BK1420" s="4"/>
      <c r="BL1420" s="4"/>
      <c r="BM1420" s="4"/>
      <c r="BN1420" s="4"/>
      <c r="BO1420" s="4"/>
      <c r="BP1420" s="4"/>
      <c r="BQ1420" s="4"/>
      <c r="BR1420" s="4"/>
      <c r="BS1420" s="4"/>
      <c r="BT1420" s="4"/>
      <c r="BU1420" s="4"/>
      <c r="BV1420" s="4"/>
      <c r="BW1420" s="4"/>
      <c r="BX1420" s="4"/>
      <c r="BY1420" s="4"/>
      <c r="BZ1420" s="4"/>
      <c r="CA1420" s="4"/>
      <c r="CB1420" s="4"/>
      <c r="CC1420" s="4"/>
      <c r="CD1420" s="4"/>
      <c r="CE1420" s="4"/>
      <c r="CF1420" s="4"/>
      <c r="CG1420" s="4"/>
      <c r="CH1420" s="4"/>
      <c r="CI1420" s="4"/>
      <c r="CJ1420" s="4"/>
      <c r="CK1420" s="4"/>
      <c r="CL1420" s="4"/>
      <c r="CM1420" s="4"/>
      <c r="CN1420" s="4"/>
      <c r="CO1420" s="4"/>
      <c r="CP1420" s="4"/>
      <c r="CQ1420" s="4"/>
      <c r="CR1420" s="4"/>
      <c r="CS1420" s="4"/>
      <c r="CT1420" s="4"/>
      <c r="CU1420" s="4"/>
      <c r="CV1420" s="4"/>
      <c r="CW1420" s="4"/>
      <c r="CX1420" s="4"/>
      <c r="CY1420" s="4"/>
      <c r="CZ1420" s="4"/>
      <c r="DA1420" s="3"/>
      <c r="DB1420" s="3"/>
      <c r="DC1420" s="8"/>
      <c r="DD1420" s="4"/>
      <c r="DE1420" s="4"/>
      <c r="DF1420" s="4"/>
      <c r="DG1420" s="4"/>
      <c r="DH1420" s="8"/>
      <c r="DI1420" s="8"/>
      <c r="DJ1420" s="8"/>
      <c r="DK1420" s="8"/>
      <c r="DL1420" s="4"/>
      <c r="DM1420" s="4"/>
      <c r="DN1420" s="4"/>
      <c r="DO1420" s="4"/>
      <c r="DP1420" s="4"/>
      <c r="DQ1420" s="4"/>
      <c r="DR1420" s="4"/>
      <c r="DS1420" s="4"/>
      <c r="DT1420" s="4"/>
      <c r="DU1420" s="4"/>
      <c r="DV1420" s="4"/>
      <c r="DW1420" s="4"/>
      <c r="DX1420" s="4"/>
      <c r="DY1420" s="4"/>
      <c r="DZ1420" s="4"/>
      <c r="EA1420" s="4"/>
      <c r="EB1420" s="4"/>
      <c r="EC1420" s="4"/>
      <c r="ED1420" s="4"/>
      <c r="EE1420" s="4"/>
      <c r="EF1420" s="8"/>
      <c r="EG1420" s="8"/>
      <c r="EH1420" s="8"/>
      <c r="EI1420" s="8"/>
      <c r="EJ1420" s="8"/>
      <c r="EK1420" s="8"/>
      <c r="EL1420" s="4"/>
      <c r="EM1420" s="4"/>
      <c r="EN1420" s="4"/>
    </row>
    <row r="1421" spans="1:147" hidden="1">
      <c r="A1421" s="11" t="s">
        <v>9940</v>
      </c>
      <c r="B1421" s="3" t="s">
        <v>8373</v>
      </c>
      <c r="C1421" s="3">
        <v>2007</v>
      </c>
      <c r="D1421" s="3" t="s">
        <v>313</v>
      </c>
      <c r="E1421" s="3" t="s">
        <v>9567</v>
      </c>
      <c r="F1421" s="3">
        <v>1</v>
      </c>
      <c r="G1421" s="3"/>
      <c r="H1421" s="3" t="s">
        <v>318</v>
      </c>
      <c r="I1421" s="3"/>
      <c r="J1421" s="3"/>
      <c r="K1421" s="3" t="s">
        <v>314</v>
      </c>
      <c r="L1421" s="4"/>
      <c r="M1421" s="3" t="s">
        <v>8577</v>
      </c>
      <c r="T1421" s="4"/>
      <c r="V1421" s="3"/>
      <c r="W1421" s="3"/>
      <c r="X1421" s="5" t="s">
        <v>319</v>
      </c>
      <c r="Y1421" s="5"/>
      <c r="Z1421" s="3">
        <v>0</v>
      </c>
      <c r="AA1421" s="3" t="s">
        <v>9249</v>
      </c>
      <c r="AB1421" s="4"/>
      <c r="AE1421" s="3"/>
      <c r="AF1421" s="4"/>
      <c r="AG1421" s="4"/>
      <c r="AH1421" s="4"/>
      <c r="AI1421" s="4"/>
      <c r="AJ1421" s="4"/>
      <c r="AK1421" s="3"/>
      <c r="AL1421" s="3"/>
      <c r="AM1421" s="3"/>
      <c r="AN1421" s="3"/>
      <c r="AO1421" s="4"/>
      <c r="AP1421" s="3"/>
      <c r="AQ1421" s="4"/>
      <c r="AR1421" s="10"/>
      <c r="AS1421" s="3"/>
      <c r="AT1421" s="4"/>
      <c r="AU1421" s="3"/>
      <c r="AV1421" s="4"/>
      <c r="AW1421" s="4"/>
      <c r="AX1421" s="4"/>
      <c r="AY1421" s="4"/>
      <c r="AZ1421" s="4"/>
      <c r="BA1421" s="4"/>
      <c r="BB1421" s="4"/>
      <c r="BC1421" s="4"/>
      <c r="BD1421" s="4"/>
      <c r="BE1421" s="4"/>
      <c r="BF1421" s="3"/>
      <c r="BG1421" s="3"/>
      <c r="BH1421" s="3"/>
      <c r="BI1421" s="4"/>
      <c r="BJ1421" s="3"/>
      <c r="BK1421" s="4"/>
      <c r="BL1421" s="4"/>
      <c r="BM1421" s="4"/>
      <c r="BN1421" s="3"/>
      <c r="BO1421" s="4"/>
      <c r="BP1421" s="4"/>
      <c r="BQ1421" s="4"/>
      <c r="BR1421" s="4"/>
      <c r="BS1421" s="4"/>
      <c r="BT1421" s="4"/>
      <c r="BU1421" s="4"/>
      <c r="BV1421" s="4"/>
      <c r="BW1421" s="4"/>
      <c r="BX1421" s="4"/>
      <c r="BY1421" s="4"/>
      <c r="BZ1421" s="4"/>
      <c r="CA1421" s="4"/>
      <c r="CB1421" s="4"/>
      <c r="CC1421" s="4"/>
      <c r="CD1421" s="4"/>
      <c r="CE1421" s="4"/>
      <c r="CF1421" s="4"/>
      <c r="CG1421" s="4"/>
      <c r="CH1421" s="4"/>
      <c r="CI1421" s="4"/>
      <c r="CJ1421" s="4"/>
      <c r="CK1421" s="4"/>
      <c r="CL1421" s="4"/>
      <c r="CM1421" s="4"/>
      <c r="CN1421" s="4"/>
      <c r="CO1421" s="4"/>
      <c r="CP1421" s="4"/>
      <c r="CQ1421" s="3"/>
      <c r="CR1421" s="3"/>
      <c r="CS1421" s="4"/>
      <c r="CT1421" s="4"/>
      <c r="CU1421" s="4"/>
      <c r="CV1421" s="4"/>
      <c r="CW1421" s="4"/>
      <c r="CX1421" s="4"/>
      <c r="CY1421" s="4"/>
      <c r="CZ1421" s="4"/>
      <c r="DA1421" s="4"/>
      <c r="DB1421" s="4"/>
      <c r="DC1421" s="4"/>
      <c r="DD1421" s="4"/>
      <c r="DE1421" s="4"/>
      <c r="DF1421" s="4"/>
      <c r="DG1421" s="4"/>
      <c r="DH1421" s="4"/>
      <c r="DI1421" s="4"/>
      <c r="DJ1421" s="4"/>
      <c r="DK1421" s="4"/>
      <c r="DL1421" s="4"/>
      <c r="DM1421" s="4"/>
      <c r="DN1421" s="4"/>
      <c r="DO1421" s="4"/>
      <c r="DP1421" s="4"/>
      <c r="DQ1421" s="4"/>
      <c r="DR1421" s="4"/>
      <c r="DS1421" s="4"/>
      <c r="DT1421" s="4"/>
      <c r="DU1421" s="4"/>
      <c r="DV1421" s="4"/>
      <c r="DW1421" s="4"/>
      <c r="DX1421" s="4"/>
      <c r="DY1421" s="4"/>
      <c r="DZ1421" s="4"/>
      <c r="EA1421" s="4"/>
      <c r="EB1421" s="4"/>
      <c r="EC1421" s="4"/>
      <c r="ED1421" s="4"/>
    </row>
    <row r="1422" spans="1:147" hidden="1">
      <c r="A1422" s="11" t="s">
        <v>9940</v>
      </c>
      <c r="B1422" s="3" t="s">
        <v>8373</v>
      </c>
      <c r="C1422" s="3">
        <v>2017</v>
      </c>
      <c r="D1422" s="3" t="s">
        <v>9568</v>
      </c>
      <c r="E1422" s="3" t="s">
        <v>9569</v>
      </c>
      <c r="F1422" s="3">
        <v>1</v>
      </c>
      <c r="G1422" s="3"/>
      <c r="H1422" s="3" t="s">
        <v>9573</v>
      </c>
      <c r="I1422" s="3"/>
      <c r="J1422" s="3"/>
      <c r="K1422" s="3" t="s">
        <v>9570</v>
      </c>
      <c r="L1422" s="4"/>
      <c r="M1422" s="3" t="s">
        <v>9571</v>
      </c>
      <c r="T1422" s="4"/>
      <c r="V1422" s="3"/>
      <c r="W1422" s="3"/>
      <c r="X1422" s="5" t="s">
        <v>9572</v>
      </c>
      <c r="Y1422" s="5"/>
      <c r="Z1422" s="3">
        <v>0</v>
      </c>
      <c r="AA1422" s="3" t="s">
        <v>9249</v>
      </c>
      <c r="AB1422" s="4"/>
      <c r="AE1422" s="3"/>
      <c r="AF1422" s="4"/>
      <c r="AG1422" s="4"/>
      <c r="AH1422" s="4"/>
      <c r="AI1422" s="4"/>
      <c r="AJ1422" s="4"/>
      <c r="AK1422" s="3"/>
      <c r="AL1422" s="3"/>
      <c r="AM1422" s="3"/>
      <c r="AN1422" s="3"/>
      <c r="AO1422" s="4"/>
      <c r="AP1422" s="3"/>
      <c r="AQ1422" s="4"/>
      <c r="AR1422" s="3"/>
      <c r="AS1422" s="3"/>
      <c r="AT1422" s="4"/>
      <c r="AU1422" s="3"/>
      <c r="AV1422" s="4"/>
      <c r="AW1422" s="4"/>
      <c r="AX1422" s="4"/>
      <c r="AY1422" s="4"/>
      <c r="AZ1422" s="4"/>
      <c r="BA1422" s="4"/>
      <c r="BB1422" s="4"/>
      <c r="BC1422" s="4"/>
      <c r="BD1422" s="4"/>
      <c r="BE1422" s="4"/>
      <c r="BF1422" s="3"/>
      <c r="BG1422" s="3"/>
      <c r="BH1422" s="3"/>
      <c r="BI1422" s="4"/>
      <c r="BJ1422" s="3"/>
      <c r="BK1422" s="4"/>
      <c r="BL1422" s="4"/>
      <c r="BM1422" s="3"/>
      <c r="BN1422" s="4"/>
      <c r="BO1422" s="4"/>
      <c r="BP1422" s="4"/>
      <c r="BQ1422" s="4"/>
      <c r="BR1422" s="4"/>
      <c r="BS1422" s="4"/>
      <c r="BT1422" s="4"/>
      <c r="BU1422" s="4"/>
      <c r="BV1422" s="4"/>
      <c r="BW1422" s="4"/>
      <c r="BX1422" s="4"/>
      <c r="BY1422" s="4"/>
      <c r="BZ1422" s="4"/>
      <c r="CA1422" s="4"/>
      <c r="CB1422" s="4"/>
      <c r="CC1422" s="4"/>
      <c r="CD1422" s="4"/>
      <c r="CE1422" s="4"/>
      <c r="CF1422" s="4"/>
      <c r="CG1422" s="4"/>
      <c r="CH1422" s="4"/>
      <c r="CI1422" s="4"/>
      <c r="CJ1422" s="4"/>
      <c r="CK1422" s="4"/>
      <c r="CL1422" s="4"/>
      <c r="CM1422" s="4"/>
      <c r="CN1422" s="4"/>
      <c r="CO1422" s="4"/>
      <c r="CP1422" s="4"/>
      <c r="CQ1422" s="4"/>
      <c r="CR1422" s="4"/>
      <c r="CS1422" s="4"/>
      <c r="CT1422" s="4"/>
      <c r="CU1422" s="4"/>
      <c r="CV1422" s="4"/>
      <c r="CW1422" s="4"/>
      <c r="CX1422" s="4"/>
      <c r="CY1422" s="4"/>
      <c r="CZ1422" s="3"/>
      <c r="DA1422" s="3"/>
      <c r="DB1422" s="4"/>
      <c r="DC1422" s="4"/>
      <c r="DD1422" s="4"/>
      <c r="DE1422" s="4"/>
      <c r="DF1422" s="4"/>
      <c r="DG1422" s="4"/>
      <c r="DH1422" s="4"/>
      <c r="DI1422" s="4"/>
      <c r="DJ1422" s="4"/>
      <c r="DK1422" s="4"/>
      <c r="DL1422" s="4"/>
      <c r="DM1422" s="4"/>
      <c r="DN1422" s="4"/>
      <c r="DO1422" s="4"/>
      <c r="DP1422" s="4"/>
      <c r="DQ1422" s="4"/>
      <c r="DR1422" s="4"/>
      <c r="DS1422" s="4"/>
      <c r="DT1422" s="4"/>
      <c r="DU1422" s="4"/>
      <c r="DV1422" s="4"/>
      <c r="DW1422" s="4"/>
      <c r="DX1422" s="4"/>
      <c r="DY1422" s="4"/>
      <c r="DZ1422" s="4"/>
      <c r="EA1422" s="4"/>
      <c r="EB1422" s="4"/>
      <c r="EC1422" s="4"/>
      <c r="ED1422" s="4"/>
      <c r="EE1422" s="4"/>
      <c r="EF1422" s="4"/>
      <c r="EG1422" s="4"/>
      <c r="EH1422" s="4"/>
      <c r="EI1422" s="4"/>
      <c r="EJ1422" s="4"/>
      <c r="EK1422" s="4"/>
      <c r="EL1422" s="4"/>
      <c r="EM1422" s="4"/>
    </row>
    <row r="1423" spans="1:147" hidden="1">
      <c r="A1423" s="11" t="s">
        <v>9940</v>
      </c>
      <c r="B1423" s="3" t="s">
        <v>8373</v>
      </c>
      <c r="C1423" s="3">
        <v>2017</v>
      </c>
      <c r="D1423" s="3" t="s">
        <v>9574</v>
      </c>
      <c r="E1423" s="3" t="s">
        <v>9575</v>
      </c>
      <c r="F1423" s="3">
        <v>0</v>
      </c>
      <c r="G1423" s="3" t="s">
        <v>9265</v>
      </c>
      <c r="H1423" s="3" t="s">
        <v>9577</v>
      </c>
      <c r="I1423" s="3"/>
      <c r="J1423" s="3"/>
      <c r="K1423" s="3" t="s">
        <v>7459</v>
      </c>
      <c r="L1423" s="4"/>
      <c r="M1423" s="3" t="s">
        <v>9576</v>
      </c>
      <c r="T1423" s="3" t="s">
        <v>7461</v>
      </c>
      <c r="V1423" s="4"/>
      <c r="W1423" s="4"/>
      <c r="X1423" s="5" t="s">
        <v>7464</v>
      </c>
      <c r="Y1423" s="5"/>
      <c r="Z1423" s="4"/>
      <c r="AA1423" s="4"/>
      <c r="AB1423" s="4"/>
      <c r="AE1423" s="4"/>
      <c r="AF1423" s="4"/>
      <c r="AG1423" s="3"/>
      <c r="AH1423" s="3"/>
      <c r="AI1423" s="3"/>
      <c r="AJ1423" s="3"/>
      <c r="AK1423" s="4"/>
      <c r="AL1423" s="3"/>
      <c r="AM1423" s="3"/>
      <c r="AN1423" s="3"/>
      <c r="AO1423" s="4"/>
      <c r="AP1423" s="3"/>
      <c r="AQ1423" s="4"/>
      <c r="AR1423" s="4"/>
      <c r="AS1423" s="4"/>
      <c r="AT1423" s="4"/>
      <c r="AU1423" s="4"/>
      <c r="AV1423" s="4"/>
      <c r="AW1423" s="4"/>
      <c r="AX1423" s="4"/>
      <c r="AY1423" s="4"/>
      <c r="AZ1423" s="4"/>
      <c r="BA1423" s="3"/>
      <c r="BB1423" s="3"/>
      <c r="BC1423" s="3"/>
      <c r="BD1423" s="4"/>
      <c r="BE1423" s="3"/>
      <c r="BF1423" s="4"/>
      <c r="BG1423" s="4"/>
      <c r="BH1423" s="3"/>
      <c r="BI1423" s="4"/>
      <c r="BJ1423" s="4"/>
      <c r="BK1423" s="4"/>
      <c r="BL1423" s="4"/>
      <c r="BM1423" s="4"/>
      <c r="BN1423" s="4"/>
      <c r="BO1423" s="4"/>
      <c r="BP1423" s="4"/>
      <c r="BQ1423" s="4"/>
      <c r="BR1423" s="4"/>
      <c r="BS1423" s="4"/>
      <c r="BT1423" s="4"/>
      <c r="BU1423" s="4"/>
      <c r="BV1423" s="4"/>
      <c r="BW1423" s="4"/>
      <c r="BX1423" s="4"/>
      <c r="BY1423" s="4"/>
      <c r="BZ1423" s="4"/>
      <c r="CA1423" s="4"/>
      <c r="CB1423" s="4"/>
      <c r="CC1423" s="4"/>
      <c r="CD1423" s="4"/>
      <c r="CE1423" s="4"/>
      <c r="CF1423" s="4"/>
      <c r="CG1423" s="4"/>
      <c r="CH1423" s="3"/>
      <c r="CI1423" s="3"/>
      <c r="CJ1423" s="4"/>
      <c r="CK1423" s="4"/>
      <c r="CL1423" s="4"/>
      <c r="CM1423" s="4"/>
      <c r="CN1423" s="4"/>
      <c r="CO1423" s="4"/>
      <c r="CP1423" s="4"/>
      <c r="CQ1423" s="4"/>
      <c r="CR1423" s="4"/>
      <c r="CS1423" s="4"/>
      <c r="CT1423" s="4"/>
      <c r="CU1423" s="4"/>
      <c r="CV1423" s="4"/>
      <c r="CW1423" s="4"/>
      <c r="CX1423" s="4"/>
      <c r="CY1423" s="4"/>
      <c r="CZ1423" s="4"/>
      <c r="DA1423" s="4"/>
      <c r="DB1423" s="4"/>
      <c r="DC1423" s="4"/>
      <c r="DD1423" s="4"/>
      <c r="DE1423" s="4"/>
      <c r="DF1423" s="4"/>
      <c r="DG1423" s="4"/>
      <c r="DH1423" s="4"/>
      <c r="DI1423" s="4"/>
      <c r="DJ1423" s="4"/>
      <c r="DK1423" s="4"/>
      <c r="DL1423" s="4"/>
      <c r="DM1423" s="4"/>
      <c r="DN1423" s="4"/>
      <c r="DO1423" s="4"/>
      <c r="DP1423" s="4"/>
      <c r="DQ1423" s="4"/>
      <c r="DR1423" s="4"/>
      <c r="DS1423" s="4"/>
      <c r="DT1423" s="4"/>
      <c r="DU1423" s="4"/>
    </row>
    <row r="1424" spans="1:147" hidden="1">
      <c r="A1424" s="11" t="s">
        <v>9940</v>
      </c>
      <c r="B1424" s="3" t="s">
        <v>8373</v>
      </c>
      <c r="C1424" s="3">
        <v>1996</v>
      </c>
      <c r="D1424" s="3" t="s">
        <v>9578</v>
      </c>
      <c r="E1424" s="3" t="s">
        <v>9579</v>
      </c>
      <c r="F1424" s="3">
        <v>1</v>
      </c>
      <c r="G1424" s="3"/>
      <c r="H1424" s="3" t="s">
        <v>9583</v>
      </c>
      <c r="I1424" s="3"/>
      <c r="J1424" s="3"/>
      <c r="K1424" s="3" t="s">
        <v>5824</v>
      </c>
      <c r="L1424" s="4"/>
      <c r="M1424" s="3" t="s">
        <v>9580</v>
      </c>
      <c r="T1424" s="3" t="s">
        <v>9581</v>
      </c>
      <c r="V1424" s="3"/>
      <c r="W1424" s="3"/>
      <c r="X1424" s="5" t="s">
        <v>9582</v>
      </c>
      <c r="Y1424" s="5"/>
      <c r="Z1424" s="3">
        <v>0</v>
      </c>
      <c r="AA1424" s="3" t="s">
        <v>9178</v>
      </c>
      <c r="AB1424" s="4"/>
      <c r="AE1424" s="3"/>
      <c r="AF1424" s="4"/>
      <c r="AG1424" s="4"/>
      <c r="AH1424" s="4"/>
      <c r="AI1424" s="4"/>
      <c r="AJ1424" s="4"/>
      <c r="AK1424" s="3"/>
      <c r="AL1424" s="3"/>
      <c r="AM1424" s="3"/>
      <c r="AN1424" s="3"/>
      <c r="AO1424" s="4"/>
      <c r="AP1424" s="3"/>
      <c r="AQ1424" s="4"/>
      <c r="AR1424" s="3"/>
      <c r="AS1424" s="3"/>
      <c r="AT1424" s="4"/>
      <c r="AU1424" s="3"/>
      <c r="AV1424" s="4"/>
      <c r="AW1424" s="4"/>
      <c r="AX1424" s="4"/>
      <c r="AY1424" s="4"/>
      <c r="AZ1424" s="4"/>
      <c r="BA1424" s="4"/>
      <c r="BB1424" s="4"/>
      <c r="BC1424" s="4"/>
      <c r="BD1424" s="4"/>
      <c r="BE1424" s="4"/>
      <c r="BF1424" s="3"/>
      <c r="BG1424" s="3"/>
      <c r="BH1424" s="3"/>
      <c r="BI1424" s="4"/>
      <c r="BJ1424" s="3"/>
      <c r="BK1424" s="4"/>
      <c r="BL1424" s="4"/>
      <c r="BM1424" s="3"/>
      <c r="BN1424" s="4"/>
      <c r="BO1424" s="4"/>
      <c r="BP1424" s="4"/>
      <c r="BQ1424" s="4"/>
      <c r="BR1424" s="4"/>
      <c r="BS1424" s="4"/>
      <c r="BT1424" s="4"/>
      <c r="BU1424" s="4"/>
      <c r="BV1424" s="4"/>
      <c r="BW1424" s="4"/>
      <c r="BX1424" s="4"/>
      <c r="BY1424" s="4"/>
      <c r="BZ1424" s="4"/>
      <c r="CA1424" s="4"/>
      <c r="CB1424" s="4"/>
      <c r="CC1424" s="4"/>
      <c r="CD1424" s="4"/>
      <c r="CE1424" s="4"/>
      <c r="CF1424" s="4"/>
      <c r="CG1424" s="4"/>
      <c r="CH1424" s="4"/>
      <c r="CI1424" s="4"/>
      <c r="CJ1424" s="4"/>
      <c r="CK1424" s="4"/>
      <c r="CL1424" s="4"/>
      <c r="CM1424" s="4"/>
      <c r="CN1424" s="4"/>
      <c r="CO1424" s="4"/>
      <c r="CP1424" s="4"/>
      <c r="CQ1424" s="4"/>
      <c r="CR1424" s="4"/>
      <c r="CS1424" s="3"/>
      <c r="CT1424" s="3"/>
      <c r="CU1424" s="4"/>
      <c r="CV1424" s="4"/>
      <c r="CW1424" s="4"/>
      <c r="CX1424" s="4"/>
      <c r="CY1424" s="4"/>
      <c r="CZ1424" s="4"/>
      <c r="DA1424" s="4"/>
      <c r="DB1424" s="4"/>
      <c r="DC1424" s="4"/>
      <c r="DD1424" s="4"/>
      <c r="DE1424" s="4"/>
      <c r="DF1424" s="4"/>
      <c r="DG1424" s="4"/>
      <c r="DH1424" s="4"/>
      <c r="DI1424" s="4"/>
      <c r="DJ1424" s="4"/>
      <c r="DK1424" s="4"/>
      <c r="DL1424" s="4"/>
      <c r="DM1424" s="4"/>
      <c r="DN1424" s="4"/>
      <c r="DO1424" s="4"/>
      <c r="DP1424" s="4"/>
      <c r="DQ1424" s="4"/>
      <c r="DR1424" s="4"/>
      <c r="DS1424" s="4"/>
      <c r="DT1424" s="4"/>
      <c r="DU1424" s="4"/>
      <c r="DV1424" s="4"/>
      <c r="DW1424" s="4"/>
      <c r="DX1424" s="4"/>
      <c r="DY1424" s="4"/>
      <c r="DZ1424" s="4"/>
      <c r="EA1424" s="4"/>
      <c r="EB1424" s="4"/>
      <c r="EC1424" s="4"/>
      <c r="ED1424" s="4"/>
      <c r="EE1424" s="4"/>
      <c r="EF1424" s="4"/>
    </row>
    <row r="1425" spans="1:148" hidden="1">
      <c r="A1425" s="11" t="s">
        <v>9940</v>
      </c>
      <c r="B1425" s="3" t="s">
        <v>8379</v>
      </c>
      <c r="C1425" s="3">
        <v>2001</v>
      </c>
      <c r="D1425" s="3" t="s">
        <v>9584</v>
      </c>
      <c r="E1425" s="3" t="s">
        <v>9585</v>
      </c>
      <c r="F1425" s="3">
        <v>0</v>
      </c>
      <c r="G1425" s="3" t="s">
        <v>9265</v>
      </c>
      <c r="H1425" s="3" t="s">
        <v>9587</v>
      </c>
      <c r="I1425" s="3"/>
      <c r="J1425" s="3"/>
      <c r="K1425" s="4"/>
      <c r="L1425" s="4"/>
      <c r="M1425" s="4"/>
      <c r="T1425" s="4"/>
      <c r="V1425" s="4"/>
      <c r="W1425" s="4"/>
      <c r="X1425" s="5" t="s">
        <v>9586</v>
      </c>
      <c r="Y1425" s="5"/>
      <c r="Z1425" s="4"/>
      <c r="AA1425" s="4"/>
      <c r="AB1425" s="4"/>
      <c r="AE1425" s="4"/>
      <c r="AF1425" s="4"/>
      <c r="AG1425" s="3"/>
      <c r="AH1425" s="3"/>
      <c r="AI1425" s="3"/>
      <c r="AJ1425" s="3"/>
      <c r="AK1425" s="4"/>
      <c r="AL1425" s="4"/>
      <c r="AM1425" s="3"/>
      <c r="AN1425" s="4"/>
      <c r="AO1425" s="4"/>
      <c r="AP1425" s="4"/>
      <c r="AQ1425" s="4"/>
      <c r="AR1425" s="4"/>
      <c r="AS1425" s="4"/>
      <c r="AT1425" s="4"/>
      <c r="AU1425" s="4"/>
      <c r="AV1425" s="4"/>
      <c r="AW1425" s="3"/>
      <c r="AX1425" s="4"/>
      <c r="AY1425" s="3"/>
      <c r="AZ1425" s="3"/>
      <c r="BA1425" s="3"/>
      <c r="BB1425" s="4"/>
      <c r="BC1425" s="3"/>
      <c r="BD1425" s="3"/>
      <c r="BE1425" s="4"/>
      <c r="BF1425" s="4"/>
      <c r="BG1425" s="4"/>
      <c r="BH1425" s="4"/>
      <c r="BI1425" s="4"/>
      <c r="BJ1425" s="4"/>
      <c r="BK1425" s="4"/>
      <c r="BL1425" s="4"/>
      <c r="BM1425" s="4"/>
      <c r="BN1425" s="4"/>
      <c r="BO1425" s="4"/>
      <c r="BP1425" s="4"/>
      <c r="BQ1425" s="4"/>
      <c r="BR1425" s="4"/>
      <c r="BS1425" s="4"/>
      <c r="BT1425" s="4"/>
      <c r="BU1425" s="4"/>
      <c r="BV1425" s="4"/>
      <c r="BW1425" s="4"/>
      <c r="BX1425" s="4"/>
      <c r="BY1425" s="4"/>
      <c r="BZ1425" s="4"/>
      <c r="CA1425" s="4"/>
      <c r="CB1425" s="4"/>
      <c r="CC1425" s="4"/>
      <c r="CD1425" s="4"/>
      <c r="CE1425" s="4"/>
      <c r="CF1425" s="4"/>
      <c r="CG1425" s="4"/>
      <c r="CH1425" s="4"/>
      <c r="CI1425" s="4"/>
      <c r="CJ1425" s="4"/>
      <c r="CK1425" s="4"/>
      <c r="CL1425" s="4"/>
      <c r="CM1425" s="4"/>
      <c r="CN1425" s="4"/>
      <c r="CO1425" s="4"/>
      <c r="CP1425" s="4"/>
      <c r="CQ1425" s="4"/>
      <c r="CR1425" s="4"/>
      <c r="CS1425" s="4"/>
      <c r="CT1425" s="4"/>
      <c r="CU1425" s="4"/>
      <c r="CV1425" s="4"/>
      <c r="CW1425" s="4"/>
      <c r="CX1425" s="3"/>
      <c r="CY1425" s="3"/>
      <c r="CZ1425" s="4"/>
      <c r="DA1425" s="4"/>
      <c r="DB1425" s="4"/>
      <c r="DC1425" s="4"/>
      <c r="DD1425" s="4"/>
      <c r="DE1425" s="4"/>
      <c r="DF1425" s="4"/>
      <c r="DG1425" s="4"/>
      <c r="DH1425" s="4"/>
      <c r="DI1425" s="4"/>
      <c r="DJ1425" s="4"/>
      <c r="DK1425" s="4"/>
      <c r="DL1425" s="4"/>
      <c r="DM1425" s="4"/>
      <c r="DN1425" s="4"/>
      <c r="DO1425" s="4"/>
      <c r="DP1425" s="4"/>
      <c r="DQ1425" s="4"/>
      <c r="DR1425" s="4"/>
      <c r="DS1425" s="4"/>
      <c r="DT1425" s="4"/>
      <c r="DU1425" s="4"/>
      <c r="DV1425" s="4"/>
      <c r="DW1425" s="4"/>
      <c r="DX1425" s="4"/>
      <c r="DY1425" s="4"/>
      <c r="DZ1425" s="4"/>
      <c r="EA1425" s="4"/>
      <c r="EB1425" s="4"/>
      <c r="EC1425" s="4"/>
      <c r="ED1425" s="4"/>
      <c r="EE1425" s="4"/>
      <c r="EF1425" s="4"/>
      <c r="EG1425" s="4"/>
      <c r="EH1425" s="4"/>
      <c r="EI1425" s="4"/>
      <c r="EJ1425" s="4"/>
      <c r="EK1425" s="4"/>
    </row>
    <row r="1426" spans="1:148" hidden="1">
      <c r="A1426" s="11" t="s">
        <v>9940</v>
      </c>
      <c r="B1426" s="3" t="s">
        <v>8373</v>
      </c>
      <c r="C1426" s="3">
        <v>2009</v>
      </c>
      <c r="D1426" s="3" t="s">
        <v>6613</v>
      </c>
      <c r="E1426" s="3" t="s">
        <v>9588</v>
      </c>
      <c r="F1426" s="3">
        <v>0</v>
      </c>
      <c r="G1426" s="3" t="s">
        <v>9237</v>
      </c>
      <c r="H1426" s="3" t="s">
        <v>6618</v>
      </c>
      <c r="I1426" s="3"/>
      <c r="J1426" s="3"/>
      <c r="K1426" s="3" t="s">
        <v>6614</v>
      </c>
      <c r="L1426" s="4"/>
      <c r="M1426" s="3" t="s">
        <v>9589</v>
      </c>
      <c r="T1426" s="4"/>
      <c r="V1426" s="4"/>
      <c r="W1426" s="4"/>
      <c r="X1426" s="5" t="s">
        <v>6619</v>
      </c>
      <c r="Y1426" s="5"/>
      <c r="Z1426" s="4"/>
      <c r="AA1426" s="4"/>
      <c r="AB1426" s="4"/>
      <c r="AE1426" s="4"/>
      <c r="AF1426" s="4"/>
      <c r="AG1426" s="3"/>
      <c r="AH1426" s="3"/>
      <c r="AI1426" s="3"/>
      <c r="AJ1426" s="3"/>
      <c r="AK1426" s="4"/>
      <c r="AL1426" s="3"/>
      <c r="AM1426" s="4"/>
      <c r="AN1426" s="3"/>
      <c r="AO1426" s="3"/>
      <c r="AP1426" s="4"/>
      <c r="AQ1426" s="3"/>
      <c r="AR1426" s="4"/>
      <c r="AS1426" s="4"/>
      <c r="AT1426" s="4"/>
      <c r="AU1426" s="4"/>
      <c r="AV1426" s="4"/>
      <c r="AW1426" s="4"/>
      <c r="AX1426" s="4"/>
      <c r="AY1426" s="4"/>
      <c r="AZ1426" s="4"/>
      <c r="BA1426" s="4"/>
      <c r="BB1426" s="3"/>
      <c r="BC1426" s="3"/>
      <c r="BD1426" s="3"/>
      <c r="BE1426" s="4"/>
      <c r="BF1426" s="3"/>
      <c r="BG1426" s="4"/>
      <c r="BH1426" s="4"/>
      <c r="BI1426" s="3"/>
      <c r="BJ1426" s="4"/>
      <c r="BK1426" s="4"/>
      <c r="BL1426" s="4"/>
      <c r="BM1426" s="4"/>
      <c r="BN1426" s="4"/>
      <c r="BO1426" s="4"/>
      <c r="BP1426" s="4"/>
      <c r="BQ1426" s="4"/>
      <c r="BR1426" s="4"/>
      <c r="BS1426" s="4"/>
      <c r="BT1426" s="4"/>
      <c r="BU1426" s="4"/>
      <c r="BV1426" s="4"/>
      <c r="BW1426" s="4"/>
      <c r="BX1426" s="4"/>
      <c r="BY1426" s="4"/>
      <c r="BZ1426" s="4"/>
      <c r="CA1426" s="4"/>
      <c r="CB1426" s="4"/>
      <c r="CC1426" s="4"/>
      <c r="CD1426" s="4"/>
      <c r="CE1426" s="4"/>
      <c r="CF1426" s="4"/>
      <c r="CG1426" s="4"/>
      <c r="CH1426" s="4"/>
      <c r="CI1426" s="4"/>
      <c r="CJ1426" s="4"/>
      <c r="CK1426" s="4"/>
      <c r="CL1426" s="4"/>
      <c r="CM1426" s="4"/>
      <c r="CN1426" s="4"/>
      <c r="CO1426" s="4"/>
      <c r="CP1426" s="4"/>
      <c r="CQ1426" s="4"/>
      <c r="CR1426" s="4"/>
      <c r="CS1426" s="4"/>
      <c r="CT1426" s="4"/>
      <c r="CU1426" s="4"/>
      <c r="CV1426" s="4"/>
      <c r="CW1426" s="4"/>
      <c r="CX1426" s="4"/>
      <c r="CY1426" s="3"/>
      <c r="CZ1426" s="3"/>
      <c r="DA1426" s="4"/>
      <c r="DB1426" s="4"/>
      <c r="DC1426" s="4"/>
      <c r="DD1426" s="4"/>
      <c r="DE1426" s="4"/>
      <c r="DF1426" s="4"/>
      <c r="DG1426" s="4"/>
      <c r="DH1426" s="4"/>
      <c r="DI1426" s="4"/>
      <c r="DJ1426" s="4"/>
      <c r="DK1426" s="4"/>
      <c r="DL1426" s="4"/>
      <c r="DM1426" s="4"/>
      <c r="DN1426" s="4"/>
      <c r="DO1426" s="4"/>
      <c r="DP1426" s="4"/>
      <c r="DQ1426" s="4"/>
      <c r="DR1426" s="4"/>
      <c r="DS1426" s="4"/>
      <c r="DT1426" s="4"/>
      <c r="DU1426" s="4"/>
      <c r="DV1426" s="4"/>
      <c r="DW1426" s="4"/>
      <c r="DX1426" s="4"/>
      <c r="DY1426" s="4"/>
      <c r="DZ1426" s="4"/>
      <c r="EA1426" s="4"/>
      <c r="EB1426" s="4"/>
      <c r="EC1426" s="4"/>
      <c r="ED1426" s="4"/>
      <c r="EE1426" s="4"/>
      <c r="EF1426" s="4"/>
      <c r="EG1426" s="4"/>
      <c r="EH1426" s="4"/>
      <c r="EI1426" s="4"/>
      <c r="EJ1426" s="4"/>
      <c r="EK1426" s="4"/>
      <c r="EL1426" s="4"/>
    </row>
    <row r="1427" spans="1:148" hidden="1">
      <c r="A1427" s="11" t="s">
        <v>9940</v>
      </c>
      <c r="B1427" s="3" t="s">
        <v>8373</v>
      </c>
      <c r="C1427" s="3">
        <v>2005</v>
      </c>
      <c r="D1427" s="3" t="s">
        <v>9590</v>
      </c>
      <c r="E1427" s="3" t="s">
        <v>9591</v>
      </c>
      <c r="F1427" s="3">
        <v>1</v>
      </c>
      <c r="G1427" s="3"/>
      <c r="H1427" s="3" t="s">
        <v>9594</v>
      </c>
      <c r="I1427" s="3"/>
      <c r="J1427" s="3"/>
      <c r="K1427" s="3" t="s">
        <v>2292</v>
      </c>
      <c r="L1427" s="4"/>
      <c r="M1427" s="3" t="s">
        <v>9498</v>
      </c>
      <c r="T1427" s="3" t="s">
        <v>9592</v>
      </c>
      <c r="V1427" s="3"/>
      <c r="W1427" s="3"/>
      <c r="X1427" s="5" t="s">
        <v>9593</v>
      </c>
      <c r="Y1427" s="5"/>
      <c r="Z1427" s="3">
        <v>0</v>
      </c>
      <c r="AA1427" s="3" t="s">
        <v>9178</v>
      </c>
      <c r="AB1427" s="4"/>
      <c r="AE1427" s="3"/>
      <c r="AF1427" s="4"/>
      <c r="AG1427" s="4"/>
      <c r="AH1427" s="4"/>
      <c r="AI1427" s="4"/>
      <c r="AJ1427" s="4"/>
      <c r="AK1427" s="3"/>
      <c r="AL1427" s="3"/>
      <c r="AM1427" s="3"/>
      <c r="AN1427" s="3"/>
      <c r="AO1427" s="4"/>
      <c r="AP1427" s="3"/>
      <c r="AQ1427" s="4"/>
      <c r="AR1427" s="3"/>
      <c r="AS1427" s="3"/>
      <c r="AT1427" s="4"/>
      <c r="AU1427" s="3"/>
      <c r="AV1427" s="4"/>
      <c r="AW1427" s="4"/>
      <c r="AX1427" s="4"/>
      <c r="AY1427" s="4"/>
      <c r="AZ1427" s="4"/>
      <c r="BA1427" s="4"/>
      <c r="BB1427" s="4"/>
      <c r="BC1427" s="4"/>
      <c r="BD1427" s="4"/>
      <c r="BE1427" s="4"/>
      <c r="BF1427" s="3"/>
      <c r="BG1427" s="3"/>
      <c r="BH1427" s="3"/>
      <c r="BI1427" s="4"/>
      <c r="BJ1427" s="3"/>
      <c r="BK1427" s="4"/>
      <c r="BL1427" s="4"/>
      <c r="BM1427" s="3"/>
      <c r="BN1427" s="4"/>
      <c r="BO1427" s="4"/>
      <c r="BP1427" s="4"/>
      <c r="BQ1427" s="4"/>
      <c r="BR1427" s="4"/>
      <c r="BS1427" s="4"/>
      <c r="BT1427" s="4"/>
      <c r="BU1427" s="4"/>
      <c r="BV1427" s="4"/>
      <c r="BW1427" s="4"/>
      <c r="BX1427" s="4"/>
      <c r="BY1427" s="4"/>
      <c r="BZ1427" s="4"/>
      <c r="CA1427" s="4"/>
      <c r="CB1427" s="4"/>
      <c r="CC1427" s="4"/>
      <c r="CD1427" s="4"/>
      <c r="CE1427" s="4"/>
      <c r="CF1427" s="4"/>
      <c r="CG1427" s="4"/>
      <c r="CH1427" s="4"/>
      <c r="CI1427" s="4"/>
      <c r="CJ1427" s="4"/>
      <c r="CK1427" s="4"/>
      <c r="CL1427" s="4"/>
      <c r="CM1427" s="4"/>
      <c r="CN1427" s="4"/>
      <c r="CO1427" s="3"/>
      <c r="CP1427" s="3"/>
      <c r="CQ1427" s="4"/>
      <c r="CR1427" s="4"/>
      <c r="CS1427" s="4"/>
      <c r="CT1427" s="4"/>
      <c r="CU1427" s="4"/>
      <c r="CV1427" s="4"/>
      <c r="CW1427" s="4"/>
      <c r="CX1427" s="4"/>
      <c r="CY1427" s="4"/>
      <c r="CZ1427" s="4"/>
      <c r="DA1427" s="4"/>
      <c r="DB1427" s="4"/>
      <c r="DC1427" s="4"/>
      <c r="DD1427" s="4"/>
      <c r="DE1427" s="4"/>
      <c r="DF1427" s="4"/>
      <c r="DG1427" s="4"/>
      <c r="DH1427" s="4"/>
      <c r="DI1427" s="4"/>
      <c r="DJ1427" s="4"/>
      <c r="DK1427" s="4"/>
      <c r="DL1427" s="4"/>
      <c r="DM1427" s="4"/>
      <c r="DN1427" s="4"/>
      <c r="DO1427" s="4"/>
      <c r="DP1427" s="4"/>
      <c r="DQ1427" s="4"/>
      <c r="DR1427" s="4"/>
      <c r="DS1427" s="4"/>
      <c r="DT1427" s="4"/>
      <c r="DU1427" s="4"/>
      <c r="DV1427" s="4"/>
      <c r="DW1427" s="4"/>
      <c r="DX1427" s="4"/>
      <c r="DY1427" s="4"/>
      <c r="DZ1427" s="4"/>
      <c r="EA1427" s="4"/>
      <c r="EB1427" s="4"/>
    </row>
    <row r="1428" spans="1:148" hidden="1">
      <c r="A1428" s="11" t="s">
        <v>9940</v>
      </c>
      <c r="B1428" s="3" t="s">
        <v>8373</v>
      </c>
      <c r="C1428" s="3">
        <v>2007</v>
      </c>
      <c r="D1428" s="3" t="s">
        <v>7940</v>
      </c>
      <c r="E1428" s="3" t="s">
        <v>8908</v>
      </c>
      <c r="F1428" s="3">
        <v>1</v>
      </c>
      <c r="G1428" s="3"/>
      <c r="H1428" s="3" t="s">
        <v>7944</v>
      </c>
      <c r="I1428" s="3"/>
      <c r="J1428" s="3"/>
      <c r="K1428" s="3" t="s">
        <v>140</v>
      </c>
      <c r="L1428" s="4"/>
      <c r="M1428" s="3" t="s">
        <v>8898</v>
      </c>
      <c r="T1428" s="3" t="s">
        <v>7942</v>
      </c>
      <c r="V1428" s="3"/>
      <c r="W1428" s="3"/>
      <c r="X1428" s="5" t="s">
        <v>7945</v>
      </c>
      <c r="Y1428" s="5"/>
      <c r="Z1428" s="3">
        <v>1</v>
      </c>
      <c r="AA1428" s="4"/>
      <c r="AB1428" s="3"/>
      <c r="AE1428" s="3"/>
      <c r="AF1428" s="3"/>
      <c r="AG1428" s="4"/>
      <c r="AH1428" s="4"/>
      <c r="AI1428" s="4"/>
      <c r="AJ1428" s="4"/>
      <c r="AK1428" s="3"/>
      <c r="AL1428" s="3"/>
      <c r="AM1428" s="3"/>
      <c r="AN1428" s="3"/>
      <c r="AO1428" s="4"/>
      <c r="AP1428" s="3"/>
      <c r="AQ1428" s="4"/>
      <c r="AR1428" s="3"/>
      <c r="AS1428" s="3"/>
      <c r="AT1428" s="4"/>
      <c r="AU1428" s="3"/>
      <c r="AV1428" s="4"/>
      <c r="AW1428" s="4"/>
      <c r="AX1428" s="4"/>
      <c r="AY1428" s="4"/>
      <c r="AZ1428" s="4"/>
      <c r="BA1428" s="4"/>
      <c r="BB1428" s="4"/>
      <c r="BC1428" s="4"/>
      <c r="BD1428" s="4"/>
      <c r="BE1428" s="4"/>
      <c r="BF1428" s="3"/>
      <c r="BG1428" s="3"/>
      <c r="BH1428" s="3"/>
      <c r="BI1428" s="4"/>
      <c r="BJ1428" s="3"/>
      <c r="BK1428" s="4"/>
      <c r="BL1428" s="4"/>
      <c r="BM1428" s="3"/>
      <c r="BN1428" s="4"/>
      <c r="BO1428" s="4"/>
      <c r="BP1428" s="4"/>
      <c r="BQ1428" s="4"/>
      <c r="BR1428" s="4"/>
      <c r="BS1428" s="4"/>
      <c r="BT1428" s="4"/>
      <c r="BU1428" s="4"/>
      <c r="BV1428" s="4"/>
      <c r="BW1428" s="4"/>
      <c r="BX1428" s="4"/>
      <c r="BY1428" s="4"/>
      <c r="BZ1428" s="4"/>
      <c r="CA1428" s="4"/>
      <c r="CB1428" s="4"/>
      <c r="CC1428" s="4"/>
      <c r="CD1428" s="4"/>
      <c r="CE1428" s="4"/>
      <c r="CF1428" s="4"/>
      <c r="CG1428" s="4"/>
      <c r="CH1428" s="4"/>
      <c r="CI1428" s="4"/>
      <c r="CJ1428" s="4"/>
      <c r="CK1428" s="4"/>
      <c r="CL1428" s="4"/>
      <c r="CM1428" s="3"/>
      <c r="CN1428" s="3"/>
      <c r="CO1428" s="8"/>
      <c r="CP1428" s="4"/>
      <c r="CQ1428" s="4"/>
      <c r="CR1428" s="4"/>
      <c r="CS1428" s="4"/>
      <c r="CT1428" s="8"/>
      <c r="CU1428" s="8"/>
      <c r="CV1428" s="8"/>
      <c r="CW1428" s="8"/>
      <c r="CX1428" s="4"/>
      <c r="CY1428" s="4"/>
      <c r="CZ1428" s="4"/>
      <c r="DA1428" s="4"/>
      <c r="DB1428" s="4"/>
      <c r="DC1428" s="4"/>
      <c r="DD1428" s="4"/>
      <c r="DE1428" s="4"/>
      <c r="DF1428" s="4"/>
      <c r="DG1428" s="4"/>
      <c r="DH1428" s="4"/>
      <c r="DI1428" s="4"/>
      <c r="DJ1428" s="4"/>
      <c r="DK1428" s="4"/>
      <c r="DL1428" s="4"/>
      <c r="DM1428" s="4"/>
      <c r="DN1428" s="4"/>
      <c r="DO1428" s="4"/>
      <c r="DP1428" s="4"/>
      <c r="DQ1428" s="4"/>
      <c r="DR1428" s="8"/>
      <c r="DS1428" s="8"/>
      <c r="DT1428" s="8"/>
      <c r="DU1428" s="8"/>
      <c r="DV1428" s="8"/>
      <c r="DW1428" s="8"/>
      <c r="DX1428" s="4"/>
      <c r="DY1428" s="4"/>
      <c r="DZ1428" s="4"/>
    </row>
    <row r="1429" spans="1:148" hidden="1">
      <c r="A1429" s="11" t="s">
        <v>9940</v>
      </c>
      <c r="B1429" s="3" t="s">
        <v>8386</v>
      </c>
      <c r="C1429" s="3">
        <v>2003</v>
      </c>
      <c r="D1429" s="3" t="s">
        <v>8909</v>
      </c>
      <c r="E1429" s="3" t="s">
        <v>8910</v>
      </c>
      <c r="F1429" s="3">
        <v>1</v>
      </c>
      <c r="G1429" s="3"/>
      <c r="H1429" s="3" t="s">
        <v>8914</v>
      </c>
      <c r="I1429" s="3"/>
      <c r="J1429" s="3"/>
      <c r="K1429" s="3" t="s">
        <v>8911</v>
      </c>
      <c r="L1429" s="3" t="s">
        <v>8912</v>
      </c>
      <c r="M1429" s="4"/>
      <c r="T1429" s="4"/>
      <c r="V1429" s="3"/>
      <c r="W1429" s="3"/>
      <c r="X1429" s="5" t="s">
        <v>8913</v>
      </c>
      <c r="Y1429" s="5"/>
      <c r="Z1429" s="3">
        <v>1</v>
      </c>
      <c r="AA1429" s="4"/>
      <c r="AB1429" s="4"/>
      <c r="AE1429" s="3"/>
      <c r="AF1429" s="3"/>
      <c r="AG1429" s="4"/>
      <c r="AH1429" s="3"/>
      <c r="AI1429" s="4"/>
      <c r="AJ1429" s="4"/>
      <c r="AK1429" s="3"/>
      <c r="AL1429" s="3"/>
      <c r="AM1429" s="3"/>
      <c r="AN1429" s="3"/>
      <c r="AO1429" s="4"/>
      <c r="AP1429" s="3"/>
      <c r="AQ1429" s="4"/>
      <c r="AR1429" s="4"/>
      <c r="AS1429" s="4"/>
      <c r="AT1429" s="4"/>
      <c r="AU1429" s="4"/>
      <c r="AV1429" s="4"/>
      <c r="AW1429" s="4"/>
      <c r="AX1429" s="4"/>
      <c r="AY1429" s="4"/>
      <c r="AZ1429" s="4"/>
      <c r="BA1429" s="3"/>
      <c r="BB1429" s="3"/>
      <c r="BC1429" s="4"/>
      <c r="BD1429" s="4"/>
      <c r="BE1429" s="3"/>
      <c r="BF1429" s="3"/>
      <c r="BG1429" s="3"/>
      <c r="BH1429" s="4"/>
      <c r="BI1429" s="3"/>
      <c r="BJ1429" s="4"/>
      <c r="BK1429" s="4"/>
      <c r="BL1429" s="3"/>
      <c r="BM1429" s="3"/>
      <c r="BN1429" s="4"/>
      <c r="BO1429" s="4"/>
      <c r="BP1429" s="4"/>
      <c r="BQ1429" s="4"/>
      <c r="BR1429" s="4"/>
      <c r="BS1429" s="4"/>
      <c r="BT1429" s="4"/>
      <c r="BU1429" s="4"/>
      <c r="BV1429" s="4"/>
      <c r="BW1429" s="4"/>
      <c r="BX1429" s="4"/>
      <c r="BY1429" s="4"/>
      <c r="BZ1429" s="4"/>
      <c r="CA1429" s="4"/>
      <c r="CB1429" s="4"/>
      <c r="CC1429" s="4"/>
      <c r="CD1429" s="4"/>
      <c r="CE1429" s="4"/>
      <c r="CF1429" s="4"/>
      <c r="CG1429" s="4"/>
      <c r="CH1429" s="4"/>
      <c r="CI1429" s="4"/>
      <c r="CJ1429" s="4"/>
      <c r="CK1429" s="4"/>
      <c r="CL1429" s="4"/>
      <c r="CM1429" s="4"/>
      <c r="CN1429" s="4"/>
      <c r="CO1429" s="4"/>
      <c r="CP1429" s="4"/>
      <c r="CQ1429" s="4"/>
      <c r="CR1429" s="4"/>
      <c r="CS1429" s="4"/>
      <c r="CT1429" s="4"/>
      <c r="CU1429" s="4"/>
      <c r="CV1429" s="4"/>
      <c r="CW1429" s="4"/>
      <c r="CX1429" s="4"/>
      <c r="CY1429" s="4"/>
      <c r="CZ1429" s="4"/>
      <c r="DA1429" s="4"/>
      <c r="DB1429" s="4"/>
      <c r="DC1429" s="4"/>
      <c r="DD1429" s="3"/>
      <c r="DE1429" s="3"/>
      <c r="DF1429" s="8"/>
      <c r="DG1429" s="4"/>
      <c r="DH1429" s="4"/>
      <c r="DI1429" s="4"/>
      <c r="DJ1429" s="4"/>
      <c r="DK1429" s="8"/>
      <c r="DL1429" s="8"/>
      <c r="DM1429" s="8"/>
      <c r="DN1429" s="8"/>
      <c r="DO1429" s="4"/>
      <c r="DP1429" s="4"/>
      <c r="DQ1429" s="4"/>
      <c r="DR1429" s="4"/>
      <c r="DS1429" s="4"/>
      <c r="DT1429" s="4"/>
      <c r="DU1429" s="4"/>
      <c r="DV1429" s="4"/>
      <c r="DW1429" s="4"/>
      <c r="DX1429" s="4"/>
      <c r="DY1429" s="4"/>
      <c r="DZ1429" s="4"/>
      <c r="EA1429" s="4"/>
      <c r="EB1429" s="4"/>
      <c r="EC1429" s="4"/>
      <c r="ED1429" s="4"/>
      <c r="EE1429" s="4"/>
      <c r="EF1429" s="4"/>
      <c r="EG1429" s="4"/>
      <c r="EH1429" s="4"/>
      <c r="EI1429" s="8"/>
      <c r="EJ1429" s="8"/>
      <c r="EK1429" s="8"/>
      <c r="EL1429" s="8"/>
      <c r="EM1429" s="8"/>
      <c r="EN1429" s="8"/>
      <c r="EO1429" s="4"/>
      <c r="EP1429" s="4"/>
      <c r="EQ1429" s="4"/>
    </row>
    <row r="1430" spans="1:148" hidden="1">
      <c r="A1430" s="11" t="s">
        <v>9940</v>
      </c>
      <c r="B1430" s="3" t="s">
        <v>8373</v>
      </c>
      <c r="C1430" s="3">
        <v>2004</v>
      </c>
      <c r="D1430" s="3" t="s">
        <v>1136</v>
      </c>
      <c r="E1430" s="3" t="s">
        <v>8915</v>
      </c>
      <c r="F1430" s="3">
        <v>1</v>
      </c>
      <c r="G1430" s="3"/>
      <c r="H1430" s="3" t="s">
        <v>1142</v>
      </c>
      <c r="I1430" s="3"/>
      <c r="J1430" s="3"/>
      <c r="K1430" s="3" t="s">
        <v>1137</v>
      </c>
      <c r="L1430" s="4"/>
      <c r="M1430" s="3" t="s">
        <v>8916</v>
      </c>
      <c r="T1430" s="3" t="s">
        <v>1139</v>
      </c>
      <c r="V1430" s="3"/>
      <c r="W1430" s="3"/>
      <c r="X1430" s="5" t="s">
        <v>1143</v>
      </c>
      <c r="Y1430" s="5"/>
      <c r="Z1430" s="3">
        <v>1</v>
      </c>
      <c r="AA1430" s="4"/>
      <c r="AB1430" s="4"/>
      <c r="AE1430" s="3"/>
      <c r="AF1430" s="3"/>
      <c r="AG1430" s="4"/>
      <c r="AH1430" s="4"/>
      <c r="AI1430" s="4"/>
      <c r="AJ1430" s="4"/>
      <c r="AK1430" s="3"/>
      <c r="AL1430" s="3"/>
      <c r="AM1430" s="3"/>
      <c r="AN1430" s="3"/>
      <c r="AO1430" s="4"/>
      <c r="AP1430" s="3"/>
      <c r="AQ1430" s="4"/>
      <c r="AR1430" s="3"/>
      <c r="AS1430" s="3"/>
      <c r="AT1430" s="4"/>
      <c r="AU1430" s="3"/>
      <c r="AV1430" s="4"/>
      <c r="AW1430" s="4"/>
      <c r="AX1430" s="4"/>
      <c r="AY1430" s="4"/>
      <c r="AZ1430" s="4"/>
      <c r="BA1430" s="4"/>
      <c r="BB1430" s="4"/>
      <c r="BC1430" s="4"/>
      <c r="BD1430" s="4"/>
      <c r="BE1430" s="4"/>
      <c r="BF1430" s="3"/>
      <c r="BG1430" s="3"/>
      <c r="BH1430" s="3"/>
      <c r="BI1430" s="4"/>
      <c r="BJ1430" s="3"/>
      <c r="BK1430" s="4"/>
      <c r="BL1430" s="4"/>
      <c r="BM1430" s="3"/>
      <c r="BN1430" s="4"/>
      <c r="BO1430" s="4"/>
      <c r="BP1430" s="4"/>
      <c r="BQ1430" s="4"/>
      <c r="BR1430" s="4"/>
      <c r="BS1430" s="4"/>
      <c r="BT1430" s="4"/>
      <c r="BU1430" s="4"/>
      <c r="BV1430" s="4"/>
      <c r="BW1430" s="4"/>
      <c r="BX1430" s="4"/>
      <c r="BY1430" s="4"/>
      <c r="BZ1430" s="4"/>
      <c r="CA1430" s="4"/>
      <c r="CB1430" s="4"/>
      <c r="CC1430" s="4"/>
      <c r="CD1430" s="4"/>
      <c r="CE1430" s="4"/>
      <c r="CF1430" s="4"/>
      <c r="CG1430" s="4"/>
      <c r="CH1430" s="4"/>
      <c r="CI1430" s="4"/>
      <c r="CJ1430" s="4"/>
      <c r="CK1430" s="4"/>
      <c r="CL1430" s="4"/>
      <c r="CM1430" s="4"/>
      <c r="CN1430" s="4"/>
      <c r="CO1430" s="4"/>
      <c r="CP1430" s="4"/>
      <c r="CQ1430" s="4"/>
      <c r="CR1430" s="4"/>
      <c r="CS1430" s="4"/>
      <c r="CT1430" s="4"/>
      <c r="CU1430" s="4"/>
      <c r="CV1430" s="4"/>
      <c r="CW1430" s="4"/>
      <c r="CX1430" s="4"/>
      <c r="CY1430" s="4"/>
      <c r="CZ1430" s="4"/>
      <c r="DA1430" s="4"/>
      <c r="DB1430" s="4"/>
      <c r="DC1430" s="3"/>
      <c r="DD1430" s="3"/>
      <c r="DE1430" s="8"/>
      <c r="DF1430" s="4"/>
      <c r="DG1430" s="4"/>
      <c r="DH1430" s="4"/>
      <c r="DI1430" s="4"/>
      <c r="DJ1430" s="8"/>
      <c r="DK1430" s="8"/>
      <c r="DL1430" s="8"/>
      <c r="DM1430" s="8"/>
      <c r="DN1430" s="4"/>
      <c r="DO1430" s="4"/>
      <c r="DP1430" s="4"/>
      <c r="DQ1430" s="4"/>
      <c r="DR1430" s="4"/>
      <c r="DS1430" s="4"/>
      <c r="DT1430" s="4"/>
      <c r="DU1430" s="4"/>
      <c r="DV1430" s="4"/>
      <c r="DW1430" s="4"/>
      <c r="DX1430" s="4"/>
      <c r="DY1430" s="4"/>
      <c r="DZ1430" s="4"/>
      <c r="EA1430" s="4"/>
      <c r="EB1430" s="4"/>
      <c r="EC1430" s="4"/>
      <c r="ED1430" s="4"/>
      <c r="EE1430" s="4"/>
      <c r="EF1430" s="4"/>
      <c r="EG1430" s="4"/>
      <c r="EH1430" s="8"/>
      <c r="EI1430" s="8"/>
      <c r="EJ1430" s="8"/>
      <c r="EK1430" s="8"/>
      <c r="EL1430" s="8"/>
      <c r="EM1430" s="8"/>
      <c r="EN1430" s="4"/>
      <c r="EO1430" s="4"/>
      <c r="EP1430" s="4"/>
    </row>
    <row r="1431" spans="1:148" hidden="1">
      <c r="A1431" s="11" t="s">
        <v>9940</v>
      </c>
      <c r="B1431" s="3" t="s">
        <v>8373</v>
      </c>
      <c r="C1431" s="3">
        <v>1998</v>
      </c>
      <c r="D1431" s="3" t="s">
        <v>9595</v>
      </c>
      <c r="E1431" s="3" t="s">
        <v>9596</v>
      </c>
      <c r="F1431" s="3">
        <v>1</v>
      </c>
      <c r="G1431" s="3"/>
      <c r="H1431" s="3" t="s">
        <v>9599</v>
      </c>
      <c r="I1431" s="3"/>
      <c r="J1431" s="3"/>
      <c r="K1431" s="3" t="s">
        <v>1980</v>
      </c>
      <c r="L1431" s="4"/>
      <c r="M1431" s="3" t="s">
        <v>8495</v>
      </c>
      <c r="T1431" s="3" t="s">
        <v>9597</v>
      </c>
      <c r="V1431" s="3"/>
      <c r="W1431" s="3"/>
      <c r="X1431" s="5" t="s">
        <v>9598</v>
      </c>
      <c r="Y1431" s="5"/>
      <c r="Z1431" s="3">
        <v>0</v>
      </c>
      <c r="AA1431" s="3" t="s">
        <v>9265</v>
      </c>
      <c r="AB1431" s="4"/>
      <c r="AE1431" s="3"/>
      <c r="AF1431" s="4"/>
      <c r="AG1431" s="4"/>
      <c r="AH1431" s="4"/>
      <c r="AI1431" s="4"/>
      <c r="AJ1431" s="4"/>
      <c r="AK1431" s="3"/>
      <c r="AL1431" s="3"/>
      <c r="AM1431" s="3"/>
      <c r="AN1431" s="3"/>
      <c r="AO1431" s="4"/>
      <c r="AP1431" s="3"/>
      <c r="AQ1431" s="4"/>
      <c r="AR1431" s="3"/>
      <c r="AS1431" s="3"/>
      <c r="AT1431" s="4"/>
      <c r="AU1431" s="3"/>
      <c r="AV1431" s="4"/>
      <c r="AW1431" s="4"/>
      <c r="AX1431" s="4"/>
      <c r="AY1431" s="4"/>
      <c r="AZ1431" s="4"/>
      <c r="BA1431" s="4"/>
      <c r="BB1431" s="4"/>
      <c r="BC1431" s="4"/>
      <c r="BD1431" s="4"/>
      <c r="BE1431" s="4"/>
      <c r="BF1431" s="3"/>
      <c r="BG1431" s="3"/>
      <c r="BH1431" s="3"/>
      <c r="BI1431" s="4"/>
      <c r="BJ1431" s="3"/>
      <c r="BK1431" s="4"/>
      <c r="BL1431" s="3"/>
      <c r="BM1431" s="4"/>
      <c r="BN1431" s="4"/>
      <c r="BO1431" s="4"/>
      <c r="BP1431" s="4"/>
      <c r="BQ1431" s="4"/>
      <c r="BR1431" s="4"/>
      <c r="BS1431" s="4"/>
      <c r="BT1431" s="4"/>
      <c r="BU1431" s="4"/>
      <c r="BV1431" s="4"/>
      <c r="BW1431" s="4"/>
      <c r="BX1431" s="4"/>
      <c r="BY1431" s="4"/>
      <c r="BZ1431" s="4"/>
      <c r="CA1431" s="4"/>
      <c r="CB1431" s="4"/>
      <c r="CC1431" s="4"/>
      <c r="CD1431" s="4"/>
      <c r="CE1431" s="4"/>
      <c r="CF1431" s="4"/>
      <c r="CG1431" s="4"/>
      <c r="CH1431" s="4"/>
      <c r="CI1431" s="4"/>
      <c r="CJ1431" s="4"/>
      <c r="CK1431" s="4"/>
      <c r="CL1431" s="4"/>
      <c r="CM1431" s="4"/>
      <c r="CN1431" s="4"/>
      <c r="CO1431" s="4"/>
      <c r="CP1431" s="4"/>
      <c r="CQ1431" s="4"/>
      <c r="CR1431" s="4"/>
      <c r="CS1431" s="4"/>
      <c r="CT1431" s="4"/>
      <c r="CU1431" s="4"/>
      <c r="CV1431" s="4"/>
      <c r="CW1431" s="3"/>
      <c r="CX1431" s="3"/>
      <c r="CY1431" s="4"/>
      <c r="CZ1431" s="4"/>
      <c r="DA1431" s="4"/>
      <c r="DB1431" s="4"/>
      <c r="DC1431" s="4"/>
      <c r="DD1431" s="4"/>
      <c r="DE1431" s="4"/>
      <c r="DF1431" s="4"/>
      <c r="DG1431" s="4"/>
      <c r="DH1431" s="4"/>
      <c r="DI1431" s="4"/>
      <c r="DJ1431" s="4"/>
      <c r="DK1431" s="4"/>
      <c r="DL1431" s="4"/>
      <c r="DM1431" s="4"/>
      <c r="DN1431" s="4"/>
      <c r="DO1431" s="4"/>
      <c r="DP1431" s="4"/>
      <c r="DQ1431" s="4"/>
      <c r="DR1431" s="4"/>
      <c r="DS1431" s="4"/>
      <c r="DT1431" s="4"/>
      <c r="DU1431" s="4"/>
      <c r="DV1431" s="4"/>
      <c r="DW1431" s="4"/>
      <c r="DX1431" s="4"/>
      <c r="DY1431" s="4"/>
      <c r="DZ1431" s="4"/>
      <c r="EA1431" s="4"/>
      <c r="EB1431" s="4"/>
      <c r="EC1431" s="4"/>
      <c r="ED1431" s="4"/>
      <c r="EE1431" s="4"/>
      <c r="EF1431" s="4"/>
      <c r="EG1431" s="4"/>
      <c r="EH1431" s="4"/>
      <c r="EI1431" s="4"/>
      <c r="EJ1431" s="4"/>
    </row>
    <row r="1432" spans="1:148" hidden="1">
      <c r="A1432" s="11" t="s">
        <v>9940</v>
      </c>
      <c r="B1432" s="3" t="s">
        <v>8373</v>
      </c>
      <c r="C1432" s="3">
        <v>2006</v>
      </c>
      <c r="D1432" s="3" t="s">
        <v>4372</v>
      </c>
      <c r="E1432" s="3" t="s">
        <v>8917</v>
      </c>
      <c r="F1432" s="3">
        <v>1</v>
      </c>
      <c r="G1432" s="3"/>
      <c r="H1432" s="3" t="s">
        <v>4376</v>
      </c>
      <c r="I1432" s="3"/>
      <c r="J1432" s="3"/>
      <c r="K1432" s="3" t="s">
        <v>132</v>
      </c>
      <c r="L1432" s="4"/>
      <c r="M1432" s="3" t="s">
        <v>8382</v>
      </c>
      <c r="T1432" s="3" t="s">
        <v>4374</v>
      </c>
      <c r="V1432" s="3"/>
      <c r="W1432" s="3"/>
      <c r="X1432" s="5" t="s">
        <v>4377</v>
      </c>
      <c r="Y1432" s="5"/>
      <c r="Z1432" s="3">
        <v>1</v>
      </c>
      <c r="AA1432" s="4"/>
      <c r="AB1432" s="4"/>
      <c r="AE1432" s="3"/>
      <c r="AF1432" s="3"/>
      <c r="AG1432" s="4"/>
      <c r="AH1432" s="4"/>
      <c r="AI1432" s="4"/>
      <c r="AJ1432" s="4"/>
      <c r="AK1432" s="3"/>
      <c r="AL1432" s="3"/>
      <c r="AM1432" s="3"/>
      <c r="AN1432" s="3"/>
      <c r="AO1432" s="4"/>
      <c r="AP1432" s="3"/>
      <c r="AQ1432" s="4"/>
      <c r="AR1432" s="3"/>
      <c r="AS1432" s="3"/>
      <c r="AT1432" s="4"/>
      <c r="AU1432" s="3"/>
      <c r="AV1432" s="4"/>
      <c r="AW1432" s="4"/>
      <c r="AX1432" s="4"/>
      <c r="AY1432" s="4"/>
      <c r="AZ1432" s="4"/>
      <c r="BA1432" s="4"/>
      <c r="BB1432" s="4"/>
      <c r="BC1432" s="4"/>
      <c r="BD1432" s="4"/>
      <c r="BE1432" s="4"/>
      <c r="BF1432" s="3"/>
      <c r="BG1432" s="3"/>
      <c r="BH1432" s="3"/>
      <c r="BI1432" s="4"/>
      <c r="BJ1432" s="3"/>
      <c r="BK1432" s="4"/>
      <c r="BL1432" s="4"/>
      <c r="BM1432" s="3"/>
      <c r="BN1432" s="4"/>
      <c r="BO1432" s="4"/>
      <c r="BP1432" s="4"/>
      <c r="BQ1432" s="4"/>
      <c r="BR1432" s="4"/>
      <c r="BS1432" s="4"/>
      <c r="BT1432" s="4"/>
      <c r="BU1432" s="4"/>
      <c r="BV1432" s="4"/>
      <c r="BW1432" s="4"/>
      <c r="BX1432" s="4"/>
      <c r="BY1432" s="4"/>
      <c r="BZ1432" s="4"/>
      <c r="CA1432" s="4"/>
      <c r="CB1432" s="4"/>
      <c r="CC1432" s="4"/>
      <c r="CD1432" s="4"/>
      <c r="CE1432" s="4"/>
      <c r="CF1432" s="4"/>
      <c r="CG1432" s="4"/>
      <c r="CH1432" s="4"/>
      <c r="CI1432" s="4"/>
      <c r="CJ1432" s="4"/>
      <c r="CK1432" s="4"/>
      <c r="CL1432" s="4"/>
      <c r="CM1432" s="4"/>
      <c r="CN1432" s="4"/>
      <c r="CO1432" s="4"/>
      <c r="CP1432" s="4"/>
      <c r="CQ1432" s="4"/>
      <c r="CR1432" s="4"/>
      <c r="CS1432" s="4"/>
      <c r="CT1432" s="4"/>
      <c r="CU1432" s="4"/>
      <c r="CV1432" s="4"/>
      <c r="CW1432" s="4"/>
      <c r="CX1432" s="3"/>
      <c r="CY1432" s="3"/>
      <c r="CZ1432" s="8"/>
      <c r="DA1432" s="4"/>
      <c r="DB1432" s="4"/>
      <c r="DC1432" s="4"/>
      <c r="DD1432" s="4"/>
      <c r="DE1432" s="8"/>
      <c r="DF1432" s="8"/>
      <c r="DG1432" s="8"/>
      <c r="DH1432" s="8"/>
      <c r="DI1432" s="4"/>
      <c r="DJ1432" s="4"/>
      <c r="DK1432" s="4"/>
      <c r="DL1432" s="4"/>
      <c r="DM1432" s="4"/>
      <c r="DN1432" s="4"/>
      <c r="DO1432" s="4"/>
      <c r="DP1432" s="4"/>
      <c r="DQ1432" s="4"/>
      <c r="DR1432" s="4"/>
      <c r="DS1432" s="4"/>
      <c r="DT1432" s="4"/>
      <c r="DU1432" s="4"/>
      <c r="DV1432" s="4"/>
      <c r="DW1432" s="4"/>
      <c r="DX1432" s="4"/>
      <c r="DY1432" s="4"/>
      <c r="DZ1432" s="4"/>
      <c r="EA1432" s="4"/>
      <c r="EB1432" s="4"/>
      <c r="EC1432" s="8"/>
      <c r="ED1432" s="8"/>
      <c r="EE1432" s="8"/>
      <c r="EF1432" s="8"/>
      <c r="EG1432" s="8"/>
      <c r="EH1432" s="8"/>
      <c r="EI1432" s="4"/>
      <c r="EJ1432" s="4"/>
      <c r="EK1432" s="4"/>
    </row>
    <row r="1433" spans="1:148" hidden="1">
      <c r="A1433" s="11" t="s">
        <v>9940</v>
      </c>
      <c r="B1433" s="3" t="s">
        <v>8373</v>
      </c>
      <c r="C1433" s="3">
        <v>2007</v>
      </c>
      <c r="D1433" s="3" t="s">
        <v>7702</v>
      </c>
      <c r="E1433" s="3" t="s">
        <v>8918</v>
      </c>
      <c r="F1433" s="3">
        <v>1</v>
      </c>
      <c r="G1433" s="3"/>
      <c r="H1433" s="3" t="s">
        <v>7706</v>
      </c>
      <c r="I1433" s="3"/>
      <c r="J1433" s="3"/>
      <c r="K1433" s="3" t="s">
        <v>132</v>
      </c>
      <c r="L1433" s="4"/>
      <c r="M1433" s="3" t="s">
        <v>8382</v>
      </c>
      <c r="T1433" s="3" t="s">
        <v>7704</v>
      </c>
      <c r="V1433" s="3"/>
      <c r="W1433" s="3"/>
      <c r="X1433" s="5" t="s">
        <v>7707</v>
      </c>
      <c r="Y1433" s="5"/>
      <c r="Z1433" s="3">
        <v>1</v>
      </c>
      <c r="AA1433" s="4"/>
      <c r="AB1433" s="4"/>
      <c r="AE1433" s="3"/>
      <c r="AF1433" s="3"/>
      <c r="AG1433" s="4"/>
      <c r="AH1433" s="4"/>
      <c r="AI1433" s="4"/>
      <c r="AJ1433" s="4"/>
      <c r="AK1433" s="3"/>
      <c r="AL1433" s="3"/>
      <c r="AM1433" s="3"/>
      <c r="AN1433" s="3"/>
      <c r="AO1433" s="4"/>
      <c r="AP1433" s="3"/>
      <c r="AQ1433" s="4"/>
      <c r="AR1433" s="3"/>
      <c r="AS1433" s="3"/>
      <c r="AT1433" s="4"/>
      <c r="AU1433" s="3"/>
      <c r="AV1433" s="4"/>
      <c r="AW1433" s="4"/>
      <c r="AX1433" s="4"/>
      <c r="AY1433" s="4"/>
      <c r="AZ1433" s="4"/>
      <c r="BA1433" s="4"/>
      <c r="BB1433" s="4"/>
      <c r="BC1433" s="4"/>
      <c r="BD1433" s="4"/>
      <c r="BE1433" s="4"/>
      <c r="BF1433" s="3"/>
      <c r="BG1433" s="3"/>
      <c r="BH1433" s="3"/>
      <c r="BI1433" s="4"/>
      <c r="BJ1433" s="3"/>
      <c r="BK1433" s="4"/>
      <c r="BL1433" s="4"/>
      <c r="BM1433" s="3"/>
      <c r="BN1433" s="4"/>
      <c r="BO1433" s="4"/>
      <c r="BP1433" s="4"/>
      <c r="BQ1433" s="4"/>
      <c r="BR1433" s="4"/>
      <c r="BS1433" s="4"/>
      <c r="BT1433" s="4"/>
      <c r="BU1433" s="4"/>
      <c r="BV1433" s="4"/>
      <c r="BW1433" s="4"/>
      <c r="BX1433" s="4"/>
      <c r="BY1433" s="4"/>
      <c r="BZ1433" s="4"/>
      <c r="CA1433" s="4"/>
      <c r="CB1433" s="4"/>
      <c r="CC1433" s="4"/>
      <c r="CD1433" s="4"/>
      <c r="CE1433" s="4"/>
      <c r="CF1433" s="4"/>
      <c r="CG1433" s="4"/>
      <c r="CH1433" s="4"/>
      <c r="CI1433" s="4"/>
      <c r="CJ1433" s="4"/>
      <c r="CK1433" s="4"/>
      <c r="CL1433" s="4"/>
      <c r="CM1433" s="4"/>
      <c r="CN1433" s="4"/>
      <c r="CO1433" s="4"/>
      <c r="CP1433" s="4"/>
      <c r="CQ1433" s="4"/>
      <c r="CR1433" s="4"/>
      <c r="CS1433" s="4"/>
      <c r="CT1433" s="4"/>
      <c r="CU1433" s="4"/>
      <c r="CV1433" s="4"/>
      <c r="CW1433" s="4"/>
      <c r="CX1433" s="4"/>
      <c r="CY1433" s="4"/>
      <c r="CZ1433" s="4"/>
      <c r="DA1433" s="4"/>
      <c r="DB1433" s="3"/>
      <c r="DC1433" s="3"/>
      <c r="DD1433" s="8"/>
      <c r="DE1433" s="4"/>
      <c r="DF1433" s="4"/>
      <c r="DG1433" s="4"/>
      <c r="DH1433" s="4"/>
      <c r="DI1433" s="8"/>
      <c r="DJ1433" s="8"/>
      <c r="DK1433" s="8"/>
      <c r="DL1433" s="8"/>
      <c r="DM1433" s="4"/>
      <c r="DN1433" s="4"/>
      <c r="DO1433" s="4"/>
      <c r="DP1433" s="4"/>
      <c r="DQ1433" s="4"/>
      <c r="DR1433" s="4"/>
      <c r="DS1433" s="4"/>
      <c r="DT1433" s="4"/>
      <c r="DU1433" s="4"/>
      <c r="DV1433" s="4"/>
      <c r="DW1433" s="4"/>
      <c r="DX1433" s="4"/>
      <c r="DY1433" s="4"/>
      <c r="DZ1433" s="4"/>
      <c r="EA1433" s="4"/>
      <c r="EB1433" s="4"/>
      <c r="EC1433" s="4"/>
      <c r="ED1433" s="4"/>
      <c r="EE1433" s="4"/>
      <c r="EF1433" s="4"/>
      <c r="EG1433" s="8"/>
      <c r="EH1433" s="8"/>
      <c r="EI1433" s="8"/>
      <c r="EJ1433" s="8"/>
      <c r="EK1433" s="8"/>
      <c r="EL1433" s="8"/>
      <c r="EM1433" s="4"/>
      <c r="EN1433" s="4"/>
      <c r="EO1433" s="4"/>
    </row>
    <row r="1434" spans="1:148" hidden="1">
      <c r="A1434" s="11" t="s">
        <v>9940</v>
      </c>
      <c r="B1434" s="3" t="s">
        <v>8373</v>
      </c>
      <c r="C1434" s="3">
        <v>2011</v>
      </c>
      <c r="D1434" s="3" t="s">
        <v>1604</v>
      </c>
      <c r="E1434" s="3" t="s">
        <v>8919</v>
      </c>
      <c r="F1434" s="3">
        <v>1</v>
      </c>
      <c r="G1434" s="3"/>
      <c r="H1434" s="3" t="s">
        <v>1608</v>
      </c>
      <c r="I1434" s="3"/>
      <c r="J1434" s="3"/>
      <c r="K1434" s="3" t="s">
        <v>40</v>
      </c>
      <c r="L1434" s="4"/>
      <c r="M1434" s="3" t="s">
        <v>8500</v>
      </c>
      <c r="T1434" s="3" t="s">
        <v>1606</v>
      </c>
      <c r="V1434" s="3"/>
      <c r="W1434" s="3"/>
      <c r="X1434" s="5" t="s">
        <v>1609</v>
      </c>
      <c r="Y1434" s="5"/>
      <c r="Z1434" s="3">
        <v>1</v>
      </c>
      <c r="AA1434" s="4"/>
      <c r="AB1434" s="4"/>
      <c r="AE1434" s="3"/>
      <c r="AF1434" s="3"/>
      <c r="AG1434" s="4"/>
      <c r="AH1434" s="4"/>
      <c r="AI1434" s="4"/>
      <c r="AJ1434" s="4"/>
      <c r="AK1434" s="3"/>
      <c r="AL1434" s="3"/>
      <c r="AM1434" s="3"/>
      <c r="AN1434" s="3"/>
      <c r="AO1434" s="4"/>
      <c r="AP1434" s="3"/>
      <c r="AQ1434" s="4"/>
      <c r="AR1434" s="3"/>
      <c r="AS1434" s="3"/>
      <c r="AT1434" s="4"/>
      <c r="AU1434" s="3"/>
      <c r="AV1434" s="4"/>
      <c r="AW1434" s="4"/>
      <c r="AX1434" s="4"/>
      <c r="AY1434" s="4"/>
      <c r="AZ1434" s="4"/>
      <c r="BA1434" s="4"/>
      <c r="BB1434" s="4"/>
      <c r="BC1434" s="4"/>
      <c r="BD1434" s="4"/>
      <c r="BE1434" s="4"/>
      <c r="BF1434" s="3"/>
      <c r="BG1434" s="3"/>
      <c r="BH1434" s="3"/>
      <c r="BI1434" s="4"/>
      <c r="BJ1434" s="3"/>
      <c r="BK1434" s="4"/>
      <c r="BL1434" s="4"/>
      <c r="BM1434" s="4"/>
      <c r="BN1434" s="3"/>
      <c r="BO1434" s="4"/>
      <c r="BP1434" s="4"/>
      <c r="BQ1434" s="4"/>
      <c r="BR1434" s="4"/>
      <c r="BS1434" s="4"/>
      <c r="BT1434" s="4"/>
      <c r="BU1434" s="4"/>
      <c r="BV1434" s="4"/>
      <c r="BW1434" s="4"/>
      <c r="BX1434" s="4"/>
      <c r="BY1434" s="4"/>
      <c r="BZ1434" s="4"/>
      <c r="CA1434" s="4"/>
      <c r="CB1434" s="4"/>
      <c r="CC1434" s="4"/>
      <c r="CD1434" s="4"/>
      <c r="CE1434" s="4"/>
      <c r="CF1434" s="4"/>
      <c r="CG1434" s="4"/>
      <c r="CH1434" s="4"/>
      <c r="CI1434" s="4"/>
      <c r="CJ1434" s="3"/>
      <c r="CK1434" s="3"/>
      <c r="CL1434" s="8"/>
      <c r="CM1434" s="4"/>
      <c r="CN1434" s="4"/>
      <c r="CO1434" s="4"/>
      <c r="CP1434" s="4"/>
      <c r="CQ1434" s="8"/>
      <c r="CR1434" s="8"/>
      <c r="CS1434" s="8"/>
      <c r="CT1434" s="8"/>
      <c r="CU1434" s="4"/>
      <c r="CV1434" s="4"/>
      <c r="CW1434" s="4"/>
      <c r="CX1434" s="4"/>
      <c r="CY1434" s="4"/>
      <c r="CZ1434" s="4"/>
      <c r="DA1434" s="4"/>
      <c r="DB1434" s="4"/>
      <c r="DC1434" s="4"/>
      <c r="DD1434" s="4"/>
      <c r="DE1434" s="4"/>
      <c r="DF1434" s="4"/>
      <c r="DG1434" s="4"/>
      <c r="DH1434" s="4"/>
      <c r="DI1434" s="4"/>
      <c r="DJ1434" s="4"/>
      <c r="DK1434" s="4"/>
      <c r="DL1434" s="4"/>
      <c r="DM1434" s="4"/>
      <c r="DN1434" s="4"/>
      <c r="DO1434" s="8"/>
      <c r="DP1434" s="8"/>
      <c r="DQ1434" s="8"/>
      <c r="DR1434" s="8"/>
      <c r="DS1434" s="8"/>
      <c r="DT1434" s="8"/>
      <c r="DU1434" s="4"/>
      <c r="DV1434" s="4"/>
      <c r="DW1434" s="4"/>
    </row>
    <row r="1435" spans="1:148" hidden="1">
      <c r="A1435" s="11" t="s">
        <v>9940</v>
      </c>
      <c r="B1435" s="3" t="s">
        <v>8373</v>
      </c>
      <c r="C1435" s="3">
        <v>1990</v>
      </c>
      <c r="D1435" s="3" t="s">
        <v>9600</v>
      </c>
      <c r="E1435" s="3" t="s">
        <v>9601</v>
      </c>
      <c r="F1435" s="3">
        <v>1</v>
      </c>
      <c r="G1435" s="3"/>
      <c r="H1435" s="3" t="s">
        <v>9604</v>
      </c>
      <c r="I1435" s="3"/>
      <c r="J1435" s="3"/>
      <c r="K1435" s="3" t="s">
        <v>766</v>
      </c>
      <c r="L1435" s="4"/>
      <c r="M1435" s="3" t="s">
        <v>8648</v>
      </c>
      <c r="T1435" s="3" t="s">
        <v>9602</v>
      </c>
      <c r="V1435" s="3"/>
      <c r="W1435" s="3"/>
      <c r="X1435" s="5" t="s">
        <v>9603</v>
      </c>
      <c r="Y1435" s="5"/>
      <c r="Z1435" s="3">
        <v>0</v>
      </c>
      <c r="AA1435" s="3" t="s">
        <v>9178</v>
      </c>
      <c r="AB1435" s="3"/>
      <c r="AE1435" s="3"/>
      <c r="AF1435" s="3"/>
      <c r="AG1435" s="4"/>
      <c r="AH1435" s="4"/>
      <c r="AI1435" s="4"/>
      <c r="AJ1435" s="4"/>
      <c r="AK1435" s="3"/>
      <c r="AL1435" s="3"/>
      <c r="AM1435" s="3"/>
      <c r="AN1435" s="3"/>
      <c r="AO1435" s="4"/>
      <c r="AP1435" s="3"/>
      <c r="AQ1435" s="4"/>
      <c r="AR1435" s="3"/>
      <c r="AS1435" s="3"/>
      <c r="AT1435" s="4"/>
      <c r="AU1435" s="3"/>
      <c r="AV1435" s="4"/>
      <c r="AW1435" s="4"/>
      <c r="AX1435" s="4"/>
      <c r="AY1435" s="4"/>
      <c r="AZ1435" s="4"/>
      <c r="BA1435" s="4"/>
      <c r="BB1435" s="4"/>
      <c r="BC1435" s="4"/>
      <c r="BD1435" s="4"/>
      <c r="BE1435" s="4"/>
      <c r="BF1435" s="3"/>
      <c r="BG1435" s="3"/>
      <c r="BH1435" s="3"/>
      <c r="BI1435" s="4"/>
      <c r="BJ1435" s="3"/>
      <c r="BK1435" s="4"/>
      <c r="BL1435" s="4"/>
      <c r="BM1435" s="3"/>
      <c r="BN1435" s="4"/>
      <c r="BO1435" s="4"/>
      <c r="BP1435" s="4"/>
      <c r="BQ1435" s="4"/>
      <c r="BR1435" s="4"/>
      <c r="BS1435" s="4"/>
      <c r="BT1435" s="4"/>
      <c r="BU1435" s="4"/>
      <c r="BV1435" s="4"/>
      <c r="BW1435" s="4"/>
      <c r="BX1435" s="4"/>
      <c r="BY1435" s="4"/>
      <c r="BZ1435" s="4"/>
      <c r="CA1435" s="4"/>
      <c r="CB1435" s="4"/>
      <c r="CC1435" s="4"/>
      <c r="CD1435" s="4"/>
      <c r="CE1435" s="4"/>
      <c r="CF1435" s="4"/>
      <c r="CG1435" s="4"/>
      <c r="CH1435" s="4"/>
      <c r="CI1435" s="4"/>
      <c r="CJ1435" s="4"/>
      <c r="CK1435" s="4"/>
      <c r="CL1435" s="4"/>
      <c r="CM1435" s="4"/>
      <c r="CN1435" s="4"/>
      <c r="CO1435" s="4"/>
      <c r="CP1435" s="4"/>
      <c r="CQ1435" s="4"/>
      <c r="CR1435" s="4"/>
      <c r="CS1435" s="4"/>
      <c r="CT1435" s="4"/>
      <c r="CU1435" s="3"/>
      <c r="CV1435" s="3"/>
      <c r="CW1435" s="8"/>
      <c r="CX1435" s="4"/>
      <c r="CY1435" s="4"/>
      <c r="CZ1435" s="4"/>
      <c r="DA1435" s="4"/>
      <c r="DB1435" s="8"/>
      <c r="DC1435" s="8"/>
      <c r="DD1435" s="8"/>
      <c r="DE1435" s="8"/>
      <c r="DF1435" s="4"/>
      <c r="DG1435" s="4"/>
      <c r="DH1435" s="4"/>
      <c r="DI1435" s="4"/>
      <c r="DJ1435" s="4"/>
      <c r="DK1435" s="4"/>
      <c r="DL1435" s="4"/>
      <c r="DM1435" s="4"/>
      <c r="DN1435" s="4"/>
      <c r="DO1435" s="4"/>
      <c r="DP1435" s="4"/>
      <c r="DQ1435" s="4"/>
      <c r="DR1435" s="4"/>
      <c r="DS1435" s="4"/>
      <c r="DT1435" s="4"/>
      <c r="DU1435" s="4"/>
      <c r="DV1435" s="4"/>
      <c r="DW1435" s="4"/>
      <c r="DX1435" s="4"/>
      <c r="DY1435" s="4"/>
      <c r="DZ1435" s="8"/>
      <c r="EA1435" s="8"/>
      <c r="EB1435" s="8"/>
      <c r="EC1435" s="8"/>
      <c r="ED1435" s="8"/>
      <c r="EE1435" s="8"/>
      <c r="EF1435" s="4"/>
      <c r="EG1435" s="4"/>
      <c r="EH1435" s="4"/>
    </row>
    <row r="1436" spans="1:148" hidden="1">
      <c r="A1436" s="11" t="s">
        <v>9940</v>
      </c>
      <c r="B1436" s="3" t="s">
        <v>8373</v>
      </c>
      <c r="C1436" s="3">
        <v>1990</v>
      </c>
      <c r="D1436" s="3" t="s">
        <v>8920</v>
      </c>
      <c r="E1436" s="3" t="s">
        <v>8921</v>
      </c>
      <c r="F1436" s="3">
        <v>1</v>
      </c>
      <c r="G1436" s="3"/>
      <c r="H1436" s="3" t="s">
        <v>8926</v>
      </c>
      <c r="I1436" s="3"/>
      <c r="J1436" s="3"/>
      <c r="K1436" s="3" t="s">
        <v>8922</v>
      </c>
      <c r="L1436" s="4"/>
      <c r="M1436" s="3" t="s">
        <v>8923</v>
      </c>
      <c r="T1436" s="3" t="s">
        <v>8924</v>
      </c>
      <c r="V1436" s="3"/>
      <c r="W1436" s="3"/>
      <c r="X1436" s="5" t="s">
        <v>8925</v>
      </c>
      <c r="Y1436" s="5"/>
      <c r="Z1436" s="3">
        <v>1</v>
      </c>
      <c r="AA1436" s="4"/>
      <c r="AB1436" s="4"/>
      <c r="AE1436" s="3"/>
      <c r="AF1436" s="3"/>
      <c r="AG1436" s="4"/>
      <c r="AH1436" s="4"/>
      <c r="AI1436" s="4"/>
      <c r="AJ1436" s="4"/>
      <c r="AK1436" s="3"/>
      <c r="AL1436" s="3"/>
      <c r="AM1436" s="3"/>
      <c r="AN1436" s="3"/>
      <c r="AO1436" s="4"/>
      <c r="AP1436" s="3"/>
      <c r="AQ1436" s="4"/>
      <c r="AR1436" s="3"/>
      <c r="AS1436" s="3"/>
      <c r="AT1436" s="4"/>
      <c r="AU1436" s="3"/>
      <c r="AV1436" s="4"/>
      <c r="AW1436" s="4"/>
      <c r="AX1436" s="4"/>
      <c r="AY1436" s="4"/>
      <c r="AZ1436" s="4"/>
      <c r="BA1436" s="4"/>
      <c r="BB1436" s="4"/>
      <c r="BC1436" s="4"/>
      <c r="BD1436" s="4"/>
      <c r="BE1436" s="4"/>
      <c r="BF1436" s="3"/>
      <c r="BG1436" s="3"/>
      <c r="BH1436" s="3"/>
      <c r="BI1436" s="4"/>
      <c r="BJ1436" s="3"/>
      <c r="BK1436" s="4"/>
      <c r="BL1436" s="4"/>
      <c r="BM1436" s="3"/>
      <c r="BN1436" s="4"/>
      <c r="BO1436" s="4"/>
      <c r="BP1436" s="4"/>
      <c r="BQ1436" s="4"/>
      <c r="BR1436" s="4"/>
      <c r="BS1436" s="4"/>
      <c r="BT1436" s="4"/>
      <c r="BU1436" s="4"/>
      <c r="BV1436" s="4"/>
      <c r="BW1436" s="4"/>
      <c r="BX1436" s="4"/>
      <c r="BY1436" s="4"/>
      <c r="BZ1436" s="4"/>
      <c r="CA1436" s="4"/>
      <c r="CB1436" s="4"/>
      <c r="CC1436" s="4"/>
      <c r="CD1436" s="4"/>
      <c r="CE1436" s="4"/>
      <c r="CF1436" s="4"/>
      <c r="CG1436" s="4"/>
      <c r="CH1436" s="4"/>
      <c r="CI1436" s="4"/>
      <c r="CJ1436" s="3"/>
      <c r="CK1436" s="3"/>
      <c r="CL1436" s="8"/>
      <c r="CM1436" s="4"/>
      <c r="CN1436" s="4"/>
      <c r="CO1436" s="4"/>
      <c r="CP1436" s="4"/>
      <c r="CQ1436" s="8"/>
      <c r="CR1436" s="8"/>
      <c r="CS1436" s="8"/>
      <c r="CT1436" s="8"/>
      <c r="CU1436" s="4"/>
      <c r="CV1436" s="4"/>
      <c r="CW1436" s="4"/>
      <c r="CX1436" s="4"/>
      <c r="CY1436" s="4"/>
      <c r="CZ1436" s="4"/>
      <c r="DA1436" s="4"/>
      <c r="DB1436" s="4"/>
      <c r="DC1436" s="4"/>
      <c r="DD1436" s="4"/>
      <c r="DE1436" s="4"/>
      <c r="DF1436" s="4"/>
      <c r="DG1436" s="4"/>
      <c r="DH1436" s="4"/>
      <c r="DI1436" s="4"/>
      <c r="DJ1436" s="4"/>
      <c r="DK1436" s="4"/>
      <c r="DL1436" s="4"/>
      <c r="DM1436" s="4"/>
      <c r="DN1436" s="4"/>
      <c r="DO1436" s="8"/>
      <c r="DP1436" s="8"/>
      <c r="DQ1436" s="8"/>
      <c r="DR1436" s="8"/>
      <c r="DS1436" s="8"/>
      <c r="DT1436" s="8"/>
      <c r="DU1436" s="4"/>
      <c r="DV1436" s="4"/>
      <c r="DW1436" s="4"/>
    </row>
    <row r="1437" spans="1:148" hidden="1">
      <c r="A1437" s="11" t="s">
        <v>9940</v>
      </c>
      <c r="B1437" s="3" t="s">
        <v>8373</v>
      </c>
      <c r="C1437" s="3">
        <v>2016</v>
      </c>
      <c r="D1437" s="3" t="s">
        <v>9605</v>
      </c>
      <c r="E1437" s="3" t="s">
        <v>9606</v>
      </c>
      <c r="F1437" s="3">
        <v>0</v>
      </c>
      <c r="G1437" s="3" t="s">
        <v>9237</v>
      </c>
      <c r="H1437" s="3" t="s">
        <v>6186</v>
      </c>
      <c r="I1437" s="3"/>
      <c r="J1437" s="3"/>
      <c r="K1437" s="3" t="s">
        <v>40</v>
      </c>
      <c r="L1437" s="4"/>
      <c r="M1437" s="3" t="s">
        <v>8500</v>
      </c>
      <c r="T1437" s="3" t="s">
        <v>6184</v>
      </c>
      <c r="V1437" s="4"/>
      <c r="W1437" s="4"/>
      <c r="X1437" s="5" t="s">
        <v>6187</v>
      </c>
      <c r="Y1437" s="5"/>
      <c r="Z1437" s="4"/>
      <c r="AA1437" s="4"/>
      <c r="AB1437" s="4"/>
      <c r="AE1437" s="4"/>
      <c r="AF1437" s="4"/>
      <c r="AG1437" s="3"/>
      <c r="AH1437" s="3"/>
      <c r="AI1437" s="3"/>
      <c r="AJ1437" s="3"/>
      <c r="AK1437" s="4"/>
      <c r="AL1437" s="3"/>
      <c r="AM1437" s="4"/>
      <c r="AN1437" s="3"/>
      <c r="AO1437" s="3"/>
      <c r="AP1437" s="4"/>
      <c r="AQ1437" s="3"/>
      <c r="AR1437" s="4"/>
      <c r="AS1437" s="4"/>
      <c r="AT1437" s="4"/>
      <c r="AU1437" s="4"/>
      <c r="AV1437" s="4"/>
      <c r="AW1437" s="4"/>
      <c r="AX1437" s="4"/>
      <c r="AY1437" s="4"/>
      <c r="AZ1437" s="4"/>
      <c r="BA1437" s="4"/>
      <c r="BB1437" s="3"/>
      <c r="BC1437" s="3"/>
      <c r="BD1437" s="3"/>
      <c r="BE1437" s="4"/>
      <c r="BF1437" s="3"/>
      <c r="BG1437" s="4"/>
      <c r="BH1437" s="4"/>
      <c r="BI1437" s="4"/>
      <c r="BJ1437" s="3"/>
      <c r="BK1437" s="4"/>
      <c r="BL1437" s="4"/>
      <c r="BM1437" s="4"/>
      <c r="BN1437" s="4"/>
      <c r="BO1437" s="4"/>
      <c r="BP1437" s="4"/>
      <c r="BQ1437" s="4"/>
      <c r="BR1437" s="4"/>
      <c r="BS1437" s="4"/>
      <c r="BT1437" s="4"/>
      <c r="BU1437" s="4"/>
      <c r="BV1437" s="4"/>
      <c r="BW1437" s="4"/>
      <c r="BX1437" s="4"/>
      <c r="BY1437" s="4"/>
      <c r="BZ1437" s="4"/>
      <c r="CA1437" s="4"/>
      <c r="CB1437" s="4"/>
      <c r="CC1437" s="4"/>
      <c r="CD1437" s="4"/>
      <c r="CE1437" s="4"/>
      <c r="CF1437" s="4"/>
      <c r="CG1437" s="4"/>
      <c r="CH1437" s="4"/>
      <c r="CI1437" s="4"/>
      <c r="CJ1437" s="4"/>
      <c r="CK1437" s="4"/>
      <c r="CL1437" s="4"/>
      <c r="CM1437" s="4"/>
      <c r="CN1437" s="4"/>
      <c r="CO1437" s="4"/>
      <c r="CP1437" s="4"/>
      <c r="CQ1437" s="4"/>
      <c r="CR1437" s="4"/>
      <c r="CS1437" s="4"/>
      <c r="CT1437" s="4"/>
      <c r="CU1437" s="4"/>
      <c r="CV1437" s="4"/>
      <c r="CW1437" s="4"/>
      <c r="CX1437" s="4"/>
      <c r="CY1437" s="4"/>
      <c r="CZ1437" s="4"/>
      <c r="DA1437" s="4"/>
      <c r="DB1437" s="4"/>
      <c r="DC1437" s="3"/>
      <c r="DD1437" s="3"/>
      <c r="DE1437" s="4"/>
      <c r="DF1437" s="4"/>
      <c r="DG1437" s="4"/>
      <c r="DH1437" s="4"/>
      <c r="DI1437" s="4"/>
      <c r="DJ1437" s="4"/>
      <c r="DK1437" s="4"/>
      <c r="DL1437" s="4"/>
      <c r="DM1437" s="4"/>
      <c r="DN1437" s="4"/>
      <c r="DO1437" s="4"/>
      <c r="DP1437" s="4"/>
      <c r="DQ1437" s="4"/>
      <c r="DR1437" s="4"/>
      <c r="DS1437" s="4"/>
      <c r="DT1437" s="4"/>
      <c r="DU1437" s="4"/>
      <c r="DV1437" s="4"/>
      <c r="DW1437" s="4"/>
      <c r="DX1437" s="4"/>
      <c r="DY1437" s="4"/>
      <c r="DZ1437" s="4"/>
      <c r="EA1437" s="4"/>
      <c r="EB1437" s="4"/>
      <c r="EC1437" s="4"/>
      <c r="ED1437" s="4"/>
      <c r="EE1437" s="4"/>
      <c r="EF1437" s="4"/>
      <c r="EG1437" s="4"/>
      <c r="EH1437" s="4"/>
      <c r="EI1437" s="4"/>
      <c r="EJ1437" s="4"/>
      <c r="EK1437" s="4"/>
      <c r="EL1437" s="4"/>
      <c r="EM1437" s="4"/>
      <c r="EN1437" s="4"/>
      <c r="EO1437" s="4"/>
      <c r="EP1437" s="4"/>
    </row>
    <row r="1438" spans="1:148" hidden="1">
      <c r="A1438" s="11" t="s">
        <v>9940</v>
      </c>
      <c r="B1438" s="3" t="s">
        <v>8373</v>
      </c>
      <c r="C1438" s="3">
        <v>2015</v>
      </c>
      <c r="D1438" s="3" t="s">
        <v>9607</v>
      </c>
      <c r="E1438" s="3" t="s">
        <v>9608</v>
      </c>
      <c r="F1438" s="4"/>
      <c r="G1438" s="3"/>
      <c r="H1438" s="3" t="s">
        <v>9611</v>
      </c>
      <c r="I1438" s="3"/>
      <c r="J1438" s="3"/>
      <c r="K1438" s="3" t="s">
        <v>40</v>
      </c>
      <c r="L1438" s="4"/>
      <c r="M1438" s="3" t="s">
        <v>8500</v>
      </c>
      <c r="T1438" s="3" t="s">
        <v>9609</v>
      </c>
      <c r="V1438" s="3"/>
      <c r="W1438" s="4"/>
      <c r="X1438" s="5" t="s">
        <v>9610</v>
      </c>
      <c r="Y1438" s="5"/>
      <c r="Z1438" s="3">
        <v>0</v>
      </c>
      <c r="AA1438" s="3" t="s">
        <v>9178</v>
      </c>
      <c r="AB1438" s="4"/>
      <c r="AE1438" s="3"/>
      <c r="AF1438" s="4"/>
      <c r="AG1438" s="4"/>
      <c r="AH1438" s="4"/>
      <c r="AI1438" s="4"/>
      <c r="AJ1438" s="4"/>
      <c r="AK1438" s="3"/>
      <c r="AL1438" s="3"/>
      <c r="AM1438" s="3"/>
      <c r="AN1438" s="3"/>
      <c r="AO1438" s="4"/>
      <c r="AP1438" s="3"/>
      <c r="AQ1438" s="3"/>
      <c r="AR1438" s="3"/>
      <c r="AS1438" s="4"/>
      <c r="AT1438" s="3"/>
      <c r="AU1438" s="4"/>
      <c r="AV1438" s="4"/>
      <c r="AW1438" s="4"/>
      <c r="AX1438" s="4"/>
      <c r="AY1438" s="4"/>
      <c r="AZ1438" s="4"/>
      <c r="BA1438" s="4"/>
      <c r="BB1438" s="4"/>
      <c r="BC1438" s="4"/>
      <c r="BD1438" s="4"/>
      <c r="BE1438" s="3"/>
      <c r="BF1438" s="3"/>
      <c r="BG1438" s="3"/>
      <c r="BH1438" s="4"/>
      <c r="BI1438" s="3"/>
      <c r="BJ1438" s="4"/>
      <c r="BK1438" s="4"/>
      <c r="BL1438" s="4"/>
      <c r="BM1438" s="3"/>
      <c r="BN1438" s="4"/>
      <c r="BO1438" s="4"/>
      <c r="BP1438" s="4"/>
      <c r="BQ1438" s="4"/>
      <c r="BR1438" s="4"/>
      <c r="BS1438" s="4"/>
      <c r="BT1438" s="4"/>
      <c r="BU1438" s="4"/>
      <c r="BV1438" s="4"/>
      <c r="BW1438" s="4"/>
      <c r="BX1438" s="4"/>
      <c r="BY1438" s="4"/>
      <c r="BZ1438" s="4"/>
      <c r="CA1438" s="4"/>
      <c r="CB1438" s="4"/>
      <c r="CC1438" s="4"/>
      <c r="CD1438" s="4"/>
      <c r="CE1438" s="4"/>
      <c r="CF1438" s="4"/>
      <c r="CG1438" s="4"/>
      <c r="CH1438" s="4"/>
      <c r="CI1438" s="4"/>
      <c r="CJ1438" s="4"/>
      <c r="CK1438" s="4"/>
      <c r="CL1438" s="4"/>
      <c r="CM1438" s="4"/>
      <c r="CN1438" s="4"/>
      <c r="CO1438" s="4"/>
      <c r="CP1438" s="4"/>
      <c r="CQ1438" s="4"/>
      <c r="CR1438" s="4"/>
      <c r="CS1438" s="4"/>
      <c r="CT1438" s="4"/>
      <c r="CU1438" s="4"/>
      <c r="CV1438" s="4"/>
      <c r="CW1438" s="4"/>
      <c r="CX1438" s="4"/>
      <c r="CY1438" s="4"/>
      <c r="CZ1438" s="4"/>
      <c r="DA1438" s="4"/>
      <c r="DB1438" s="3"/>
      <c r="DC1438" s="3"/>
      <c r="DD1438" s="4"/>
      <c r="DE1438" s="4"/>
      <c r="DF1438" s="4"/>
      <c r="DG1438" s="4"/>
      <c r="DH1438" s="4"/>
      <c r="DI1438" s="4"/>
      <c r="DJ1438" s="4"/>
      <c r="DK1438" s="4"/>
      <c r="DL1438" s="4"/>
      <c r="DM1438" s="4"/>
      <c r="DN1438" s="4"/>
      <c r="DO1438" s="4"/>
      <c r="DP1438" s="4"/>
      <c r="DQ1438" s="4"/>
      <c r="DR1438" s="4"/>
      <c r="DS1438" s="4"/>
      <c r="DT1438" s="4"/>
      <c r="DU1438" s="4"/>
      <c r="DV1438" s="4"/>
      <c r="DW1438" s="4"/>
      <c r="DX1438" s="4"/>
      <c r="DY1438" s="4"/>
      <c r="DZ1438" s="4"/>
      <c r="EA1438" s="4"/>
      <c r="EB1438" s="4"/>
      <c r="EC1438" s="4"/>
      <c r="ED1438" s="4"/>
      <c r="EE1438" s="4"/>
      <c r="EF1438" s="4"/>
      <c r="EG1438" s="4"/>
      <c r="EH1438" s="4"/>
      <c r="EI1438" s="4"/>
      <c r="EJ1438" s="4"/>
      <c r="EK1438" s="4"/>
      <c r="EL1438" s="4"/>
      <c r="EM1438" s="4"/>
      <c r="EN1438" s="4"/>
      <c r="EO1438" s="4"/>
    </row>
    <row r="1439" spans="1:148" hidden="1">
      <c r="A1439" s="11" t="s">
        <v>9940</v>
      </c>
      <c r="B1439" s="3" t="s">
        <v>8373</v>
      </c>
      <c r="C1439" s="3">
        <v>2011</v>
      </c>
      <c r="D1439" s="3" t="s">
        <v>8927</v>
      </c>
      <c r="E1439" s="3" t="s">
        <v>8928</v>
      </c>
      <c r="F1439" s="3">
        <v>1</v>
      </c>
      <c r="G1439" s="3"/>
      <c r="H1439" s="3" t="s">
        <v>8929</v>
      </c>
      <c r="I1439" s="3"/>
      <c r="J1439" s="3"/>
      <c r="K1439" s="3" t="s">
        <v>93</v>
      </c>
      <c r="L1439" s="4"/>
      <c r="M1439" s="3" t="s">
        <v>8511</v>
      </c>
      <c r="T1439" s="3" t="s">
        <v>2607</v>
      </c>
      <c r="V1439" s="3"/>
      <c r="W1439" s="4"/>
      <c r="X1439" s="5" t="s">
        <v>2610</v>
      </c>
      <c r="Y1439" s="5"/>
      <c r="Z1439" s="3">
        <v>1</v>
      </c>
      <c r="AA1439" s="4"/>
      <c r="AB1439" s="4"/>
      <c r="AE1439" s="3"/>
      <c r="AF1439" s="3"/>
      <c r="AG1439" s="4"/>
      <c r="AH1439" s="4"/>
      <c r="AI1439" s="4"/>
      <c r="AJ1439" s="4"/>
      <c r="AK1439" s="3"/>
      <c r="AL1439" s="3"/>
      <c r="AM1439" s="3"/>
      <c r="AN1439" s="3"/>
      <c r="AO1439" s="4"/>
      <c r="AP1439" s="3"/>
      <c r="AQ1439" s="4"/>
      <c r="AR1439" s="3"/>
      <c r="AS1439" s="3"/>
      <c r="AT1439" s="4"/>
      <c r="AU1439" s="3"/>
      <c r="AV1439" s="4"/>
      <c r="AW1439" s="4"/>
      <c r="AX1439" s="4"/>
      <c r="AY1439" s="4"/>
      <c r="AZ1439" s="4"/>
      <c r="BA1439" s="4"/>
      <c r="BB1439" s="4"/>
      <c r="BC1439" s="4"/>
      <c r="BD1439" s="4"/>
      <c r="BE1439" s="4"/>
      <c r="BF1439" s="3"/>
      <c r="BG1439" s="3"/>
      <c r="BH1439" s="3"/>
      <c r="BI1439" s="4"/>
      <c r="BJ1439" s="3"/>
      <c r="BK1439" s="4"/>
      <c r="BL1439" s="4"/>
      <c r="BM1439" s="3"/>
      <c r="BN1439" s="4"/>
      <c r="BO1439" s="4"/>
      <c r="BP1439" s="4"/>
      <c r="BQ1439" s="4"/>
      <c r="BR1439" s="4"/>
      <c r="BS1439" s="4"/>
      <c r="BT1439" s="4"/>
      <c r="BU1439" s="4"/>
      <c r="BV1439" s="4"/>
      <c r="BW1439" s="4"/>
      <c r="BX1439" s="4"/>
      <c r="BY1439" s="4"/>
      <c r="BZ1439" s="4"/>
      <c r="CA1439" s="4"/>
      <c r="CB1439" s="4"/>
      <c r="CC1439" s="4"/>
      <c r="CD1439" s="4"/>
      <c r="CE1439" s="4"/>
      <c r="CF1439" s="4"/>
      <c r="CG1439" s="4"/>
      <c r="CH1439" s="4"/>
      <c r="CI1439" s="4"/>
      <c r="CJ1439" s="4"/>
      <c r="CK1439" s="4"/>
      <c r="CL1439" s="4"/>
      <c r="CM1439" s="4"/>
      <c r="CN1439" s="4"/>
      <c r="CO1439" s="3"/>
      <c r="CP1439" s="3"/>
      <c r="CQ1439" s="8"/>
      <c r="CR1439" s="4"/>
      <c r="CS1439" s="4"/>
      <c r="CT1439" s="4"/>
      <c r="CU1439" s="4"/>
      <c r="CV1439" s="8"/>
      <c r="CW1439" s="8"/>
      <c r="CX1439" s="8"/>
      <c r="CY1439" s="8"/>
      <c r="CZ1439" s="4"/>
      <c r="DA1439" s="4"/>
      <c r="DB1439" s="4"/>
      <c r="DC1439" s="4"/>
      <c r="DD1439" s="4"/>
      <c r="DE1439" s="4"/>
      <c r="DF1439" s="4"/>
      <c r="DG1439" s="4"/>
      <c r="DH1439" s="4"/>
      <c r="DI1439" s="4"/>
      <c r="DJ1439" s="4"/>
      <c r="DK1439" s="4"/>
      <c r="DL1439" s="4"/>
      <c r="DM1439" s="4"/>
      <c r="DN1439" s="4"/>
      <c r="DO1439" s="4"/>
      <c r="DP1439" s="4"/>
      <c r="DQ1439" s="4"/>
      <c r="DR1439" s="4"/>
      <c r="DS1439" s="4"/>
      <c r="DT1439" s="8"/>
      <c r="DU1439" s="8"/>
      <c r="DV1439" s="8"/>
      <c r="DW1439" s="8"/>
      <c r="DX1439" s="8"/>
      <c r="DY1439" s="8"/>
      <c r="DZ1439" s="4"/>
      <c r="EA1439" s="4"/>
      <c r="EB1439" s="4"/>
    </row>
    <row r="1440" spans="1:148" hidden="1">
      <c r="A1440" s="11" t="s">
        <v>9940</v>
      </c>
      <c r="B1440" s="3" t="s">
        <v>8386</v>
      </c>
      <c r="C1440" s="3">
        <v>1999</v>
      </c>
      <c r="D1440" s="3" t="s">
        <v>9612</v>
      </c>
      <c r="E1440" s="3" t="s">
        <v>9613</v>
      </c>
      <c r="F1440" s="3">
        <v>1</v>
      </c>
      <c r="G1440" s="3"/>
      <c r="H1440" s="3" t="s">
        <v>9615</v>
      </c>
      <c r="I1440" s="3"/>
      <c r="J1440" s="3"/>
      <c r="K1440" s="3" t="s">
        <v>9458</v>
      </c>
      <c r="L1440" s="3" t="s">
        <v>9459</v>
      </c>
      <c r="M1440" s="4"/>
      <c r="T1440" s="4"/>
      <c r="V1440" s="3"/>
      <c r="W1440" s="3"/>
      <c r="X1440" s="5" t="s">
        <v>9614</v>
      </c>
      <c r="Y1440" s="5"/>
      <c r="Z1440" s="3">
        <v>0</v>
      </c>
      <c r="AA1440" s="3" t="s">
        <v>9178</v>
      </c>
      <c r="AB1440" s="4"/>
      <c r="AE1440" s="3"/>
      <c r="AF1440" s="4"/>
      <c r="AG1440" s="4"/>
      <c r="AH1440" s="4"/>
      <c r="AI1440" s="4"/>
      <c r="AJ1440" s="4"/>
      <c r="AK1440" s="3"/>
      <c r="AL1440" s="3"/>
      <c r="AM1440" s="3"/>
      <c r="AN1440" s="3"/>
      <c r="AO1440" s="4"/>
      <c r="AP1440" s="3"/>
      <c r="AQ1440" s="4"/>
      <c r="AR1440" s="4"/>
      <c r="AS1440" s="4"/>
      <c r="AT1440" s="4"/>
      <c r="AU1440" s="4"/>
      <c r="AV1440" s="4"/>
      <c r="AW1440" s="4"/>
      <c r="AX1440" s="4"/>
      <c r="AY1440" s="4"/>
      <c r="AZ1440" s="4"/>
      <c r="BA1440" s="3"/>
      <c r="BB1440" s="3"/>
      <c r="BC1440" s="4"/>
      <c r="BD1440" s="4"/>
      <c r="BE1440" s="4"/>
      <c r="BF1440" s="3"/>
      <c r="BG1440" s="3"/>
      <c r="BH1440" s="3"/>
      <c r="BI1440" s="4"/>
      <c r="BJ1440" s="4"/>
      <c r="BK1440" s="4"/>
      <c r="BL1440" s="4"/>
      <c r="BM1440" s="4"/>
      <c r="BN1440" s="3"/>
      <c r="BO1440" s="3"/>
      <c r="BP1440" s="4"/>
      <c r="BQ1440" s="4"/>
      <c r="BR1440" s="4"/>
      <c r="BS1440" s="4"/>
      <c r="BT1440" s="4"/>
      <c r="BU1440" s="4"/>
      <c r="BV1440" s="4"/>
      <c r="BW1440" s="4"/>
      <c r="BX1440" s="4"/>
      <c r="BY1440" s="4"/>
      <c r="BZ1440" s="4"/>
      <c r="CA1440" s="4"/>
      <c r="CB1440" s="4"/>
      <c r="CC1440" s="4"/>
      <c r="CD1440" s="4"/>
      <c r="CE1440" s="4"/>
      <c r="CF1440" s="4"/>
      <c r="CG1440" s="4"/>
      <c r="CH1440" s="4"/>
      <c r="CI1440" s="4"/>
      <c r="CJ1440" s="4"/>
      <c r="CK1440" s="4"/>
      <c r="CL1440" s="4"/>
      <c r="CM1440" s="4"/>
      <c r="CN1440" s="4"/>
      <c r="CO1440" s="4"/>
      <c r="CP1440" s="4"/>
      <c r="CQ1440" s="4"/>
      <c r="CR1440" s="4"/>
      <c r="CS1440" s="4"/>
      <c r="CT1440" s="4"/>
      <c r="CU1440" s="4"/>
      <c r="CV1440" s="4"/>
      <c r="CW1440" s="4"/>
      <c r="CX1440" s="4"/>
      <c r="CY1440" s="4"/>
      <c r="CZ1440" s="4"/>
      <c r="DA1440" s="4"/>
      <c r="DB1440" s="4"/>
      <c r="DC1440" s="4"/>
      <c r="DD1440" s="4"/>
      <c r="DE1440" s="3"/>
      <c r="DF1440" s="3"/>
      <c r="DG1440" s="4"/>
      <c r="DH1440" s="4"/>
      <c r="DI1440" s="4"/>
      <c r="DJ1440" s="4"/>
      <c r="DK1440" s="4"/>
      <c r="DL1440" s="4"/>
      <c r="DM1440" s="4"/>
      <c r="DN1440" s="4"/>
      <c r="DO1440" s="4"/>
      <c r="DP1440" s="4"/>
      <c r="DQ1440" s="4"/>
      <c r="DR1440" s="4"/>
      <c r="DS1440" s="4"/>
      <c r="DT1440" s="4"/>
      <c r="DU1440" s="4"/>
      <c r="DV1440" s="4"/>
      <c r="DW1440" s="4"/>
      <c r="DX1440" s="4"/>
      <c r="DY1440" s="4"/>
      <c r="DZ1440" s="4"/>
      <c r="EA1440" s="4"/>
      <c r="EB1440" s="4"/>
      <c r="EC1440" s="4"/>
      <c r="ED1440" s="4"/>
      <c r="EE1440" s="4"/>
      <c r="EF1440" s="4"/>
      <c r="EG1440" s="4"/>
      <c r="EH1440" s="4"/>
      <c r="EI1440" s="4"/>
      <c r="EJ1440" s="4"/>
      <c r="EK1440" s="4"/>
      <c r="EL1440" s="4"/>
      <c r="EM1440" s="4"/>
      <c r="EN1440" s="4"/>
      <c r="EO1440" s="4"/>
      <c r="EP1440" s="4"/>
      <c r="EQ1440" s="4"/>
      <c r="ER1440" s="4"/>
    </row>
    <row r="1441" spans="1:149" hidden="1">
      <c r="A1441" s="11" t="s">
        <v>9940</v>
      </c>
      <c r="B1441" s="3" t="s">
        <v>8373</v>
      </c>
      <c r="C1441" s="3">
        <v>2017</v>
      </c>
      <c r="D1441" s="3" t="s">
        <v>5319</v>
      </c>
      <c r="E1441" s="3" t="s">
        <v>8930</v>
      </c>
      <c r="F1441" s="3">
        <v>1</v>
      </c>
      <c r="G1441" s="3"/>
      <c r="H1441" s="3" t="s">
        <v>8931</v>
      </c>
      <c r="I1441" s="3"/>
      <c r="J1441" s="3"/>
      <c r="K1441" s="3" t="s">
        <v>132</v>
      </c>
      <c r="L1441" s="4"/>
      <c r="M1441" s="3" t="s">
        <v>8382</v>
      </c>
      <c r="T1441" s="3" t="s">
        <v>5321</v>
      </c>
      <c r="V1441" s="3"/>
      <c r="W1441" s="4"/>
      <c r="X1441" s="5" t="s">
        <v>5324</v>
      </c>
      <c r="Y1441" s="5"/>
      <c r="Z1441" s="3">
        <v>1</v>
      </c>
      <c r="AA1441" s="4"/>
      <c r="AB1441" s="4"/>
      <c r="AE1441" s="3"/>
      <c r="AF1441" s="3"/>
      <c r="AG1441" s="4"/>
      <c r="AH1441" s="4"/>
      <c r="AI1441" s="4"/>
      <c r="AJ1441" s="4"/>
      <c r="AK1441" s="3"/>
      <c r="AL1441" s="3"/>
      <c r="AM1441" s="3"/>
      <c r="AN1441" s="3"/>
      <c r="AO1441" s="4"/>
      <c r="AP1441" s="3"/>
      <c r="AQ1441" s="4"/>
      <c r="AR1441" s="4"/>
      <c r="AS1441" s="3"/>
      <c r="AT1441" s="4"/>
      <c r="AU1441" s="3"/>
      <c r="AV1441" s="4"/>
      <c r="AW1441" s="4"/>
      <c r="AX1441" s="4"/>
      <c r="AY1441" s="4"/>
      <c r="AZ1441" s="4"/>
      <c r="BA1441" s="4"/>
      <c r="BB1441" s="4"/>
      <c r="BC1441" s="4"/>
      <c r="BD1441" s="4"/>
      <c r="BE1441" s="4"/>
      <c r="BF1441" s="3"/>
      <c r="BG1441" s="3"/>
      <c r="BH1441" s="3"/>
      <c r="BI1441" s="4"/>
      <c r="BJ1441" s="3"/>
      <c r="BK1441" s="4"/>
      <c r="BL1441" s="4"/>
      <c r="BM1441" s="3"/>
      <c r="BN1441" s="4"/>
      <c r="BO1441" s="4"/>
      <c r="BP1441" s="4"/>
      <c r="BQ1441" s="4"/>
      <c r="BR1441" s="4"/>
      <c r="BS1441" s="4"/>
      <c r="BT1441" s="4"/>
      <c r="BU1441" s="4"/>
      <c r="BV1441" s="4"/>
      <c r="BW1441" s="4"/>
      <c r="BX1441" s="4"/>
      <c r="BY1441" s="4"/>
      <c r="BZ1441" s="4"/>
      <c r="CA1441" s="4"/>
      <c r="CB1441" s="4"/>
      <c r="CC1441" s="4"/>
      <c r="CD1441" s="4"/>
      <c r="CE1441" s="4"/>
      <c r="CF1441" s="4"/>
      <c r="CG1441" s="4"/>
      <c r="CH1441" s="4"/>
      <c r="CI1441" s="4"/>
      <c r="CJ1441" s="4"/>
      <c r="CK1441" s="4"/>
      <c r="CL1441" s="4"/>
      <c r="CM1441" s="4"/>
      <c r="CN1441" s="4"/>
      <c r="CO1441" s="4"/>
      <c r="CP1441" s="4"/>
      <c r="CQ1441" s="4"/>
      <c r="CR1441" s="4"/>
      <c r="CS1441" s="4"/>
      <c r="CT1441" s="4"/>
      <c r="CU1441" s="4"/>
      <c r="CV1441" s="4"/>
      <c r="CW1441" s="4"/>
      <c r="CX1441" s="4"/>
      <c r="CY1441" s="4"/>
      <c r="CZ1441" s="4"/>
      <c r="DA1441" s="4"/>
      <c r="DB1441" s="4"/>
      <c r="DC1441" s="4"/>
      <c r="DD1441" s="4"/>
      <c r="DE1441" s="4"/>
      <c r="DF1441" s="3"/>
      <c r="DG1441" s="3"/>
      <c r="DH1441" s="8"/>
      <c r="DI1441" s="4"/>
      <c r="DJ1441" s="4"/>
      <c r="DK1441" s="4"/>
      <c r="DL1441" s="4"/>
      <c r="DM1441" s="8"/>
      <c r="DN1441" s="8"/>
      <c r="DO1441" s="8"/>
      <c r="DP1441" s="8"/>
      <c r="DQ1441" s="4"/>
      <c r="DR1441" s="4"/>
      <c r="DS1441" s="4"/>
      <c r="DT1441" s="4"/>
      <c r="DU1441" s="4"/>
      <c r="DV1441" s="4"/>
      <c r="DW1441" s="4"/>
      <c r="DX1441" s="4"/>
      <c r="DY1441" s="4"/>
      <c r="DZ1441" s="4"/>
      <c r="EA1441" s="4"/>
      <c r="EB1441" s="4"/>
      <c r="EC1441" s="4"/>
      <c r="ED1441" s="4"/>
      <c r="EE1441" s="4"/>
      <c r="EF1441" s="4"/>
      <c r="EG1441" s="4"/>
      <c r="EH1441" s="4"/>
      <c r="EI1441" s="4"/>
      <c r="EJ1441" s="4"/>
      <c r="EK1441" s="8"/>
      <c r="EL1441" s="8"/>
      <c r="EM1441" s="8"/>
      <c r="EN1441" s="8"/>
      <c r="EO1441" s="8"/>
      <c r="EP1441" s="8"/>
      <c r="EQ1441" s="4"/>
      <c r="ER1441" s="4"/>
      <c r="ES1441" s="4"/>
    </row>
    <row r="1442" spans="1:149" hidden="1">
      <c r="A1442" s="11" t="s">
        <v>9940</v>
      </c>
      <c r="B1442" s="3" t="s">
        <v>8373</v>
      </c>
      <c r="C1442" s="3">
        <v>2013</v>
      </c>
      <c r="D1442" s="3" t="s">
        <v>9616</v>
      </c>
      <c r="E1442" s="3" t="s">
        <v>9617</v>
      </c>
      <c r="F1442" s="3">
        <v>1</v>
      </c>
      <c r="G1442" s="3"/>
      <c r="H1442" s="3" t="s">
        <v>9619</v>
      </c>
      <c r="I1442" s="3"/>
      <c r="J1442" s="3"/>
      <c r="K1442" s="3" t="s">
        <v>461</v>
      </c>
      <c r="L1442" s="4"/>
      <c r="M1442" s="3" t="s">
        <v>9618</v>
      </c>
      <c r="T1442" s="3" t="s">
        <v>6594</v>
      </c>
      <c r="V1442" s="3"/>
      <c r="W1442" s="3"/>
      <c r="X1442" s="5" t="s">
        <v>6597</v>
      </c>
      <c r="Y1442" s="5"/>
      <c r="Z1442" s="3">
        <v>0</v>
      </c>
      <c r="AA1442" s="3" t="s">
        <v>9265</v>
      </c>
      <c r="AB1442" s="4"/>
      <c r="AE1442" s="3"/>
      <c r="AF1442" s="4"/>
      <c r="AG1442" s="4"/>
      <c r="AH1442" s="4"/>
      <c r="AI1442" s="4"/>
      <c r="AJ1442" s="4"/>
      <c r="AK1442" s="3"/>
      <c r="AL1442" s="3"/>
      <c r="AM1442" s="3"/>
      <c r="AN1442" s="3"/>
      <c r="AO1442" s="4"/>
      <c r="AP1442" s="3"/>
      <c r="AQ1442" s="4"/>
      <c r="AR1442" s="3"/>
      <c r="AS1442" s="3"/>
      <c r="AT1442" s="4"/>
      <c r="AU1442" s="3"/>
      <c r="AV1442" s="4"/>
      <c r="AW1442" s="4"/>
      <c r="AX1442" s="4"/>
      <c r="AY1442" s="4"/>
      <c r="AZ1442" s="4"/>
      <c r="BA1442" s="4"/>
      <c r="BB1442" s="4"/>
      <c r="BC1442" s="4"/>
      <c r="BD1442" s="4"/>
      <c r="BE1442" s="4"/>
      <c r="BF1442" s="3"/>
      <c r="BG1442" s="3"/>
      <c r="BH1442" s="3"/>
      <c r="BI1442" s="4"/>
      <c r="BJ1442" s="3"/>
      <c r="BK1442" s="4"/>
      <c r="BL1442" s="4"/>
      <c r="BM1442" s="3"/>
      <c r="BN1442" s="4"/>
      <c r="BO1442" s="4"/>
      <c r="BP1442" s="4"/>
      <c r="BQ1442" s="4"/>
      <c r="BR1442" s="4"/>
      <c r="BS1442" s="4"/>
      <c r="BT1442" s="4"/>
      <c r="BU1442" s="4"/>
      <c r="BV1442" s="4"/>
      <c r="BW1442" s="4"/>
      <c r="BX1442" s="4"/>
      <c r="BY1442" s="4"/>
      <c r="BZ1442" s="4"/>
      <c r="CA1442" s="4"/>
      <c r="CB1442" s="4"/>
      <c r="CC1442" s="4"/>
      <c r="CD1442" s="4"/>
      <c r="CE1442" s="4"/>
      <c r="CF1442" s="4"/>
      <c r="CG1442" s="4"/>
      <c r="CH1442" s="4"/>
      <c r="CI1442" s="4"/>
      <c r="CJ1442" s="3"/>
      <c r="CK1442" s="3"/>
      <c r="CL1442" s="4"/>
      <c r="CM1442" s="4"/>
      <c r="CN1442" s="4"/>
      <c r="CO1442" s="4"/>
      <c r="CP1442" s="4"/>
      <c r="CQ1442" s="4"/>
      <c r="CR1442" s="4"/>
      <c r="CS1442" s="4"/>
      <c r="CT1442" s="4"/>
      <c r="CU1442" s="4"/>
      <c r="CV1442" s="4"/>
      <c r="CW1442" s="4"/>
      <c r="CX1442" s="4"/>
      <c r="CY1442" s="4"/>
      <c r="CZ1442" s="4"/>
      <c r="DA1442" s="4"/>
      <c r="DB1442" s="4"/>
      <c r="DC1442" s="4"/>
      <c r="DD1442" s="4"/>
      <c r="DE1442" s="4"/>
      <c r="DF1442" s="4"/>
      <c r="DG1442" s="4"/>
      <c r="DH1442" s="4"/>
      <c r="DI1442" s="4"/>
      <c r="DJ1442" s="4"/>
      <c r="DK1442" s="4"/>
      <c r="DL1442" s="4"/>
      <c r="DM1442" s="4"/>
      <c r="DN1442" s="4"/>
      <c r="DO1442" s="4"/>
      <c r="DP1442" s="4"/>
      <c r="DQ1442" s="4"/>
      <c r="DR1442" s="4"/>
      <c r="DS1442" s="4"/>
      <c r="DT1442" s="4"/>
      <c r="DU1442" s="4"/>
      <c r="DV1442" s="4"/>
      <c r="DW1442" s="4"/>
    </row>
    <row r="1443" spans="1:149" hidden="1">
      <c r="A1443" s="11" t="s">
        <v>9940</v>
      </c>
      <c r="B1443" s="3" t="s">
        <v>8379</v>
      </c>
      <c r="C1443" s="3">
        <v>2009</v>
      </c>
      <c r="D1443" s="3" t="s">
        <v>7059</v>
      </c>
      <c r="E1443" s="3" t="s">
        <v>9620</v>
      </c>
      <c r="F1443" s="3">
        <v>0</v>
      </c>
      <c r="G1443" s="3" t="s">
        <v>9237</v>
      </c>
      <c r="H1443" s="3" t="s">
        <v>7062</v>
      </c>
      <c r="I1443" s="3"/>
      <c r="J1443" s="3"/>
      <c r="K1443" s="4"/>
      <c r="L1443" s="4"/>
      <c r="M1443" s="4"/>
      <c r="T1443" s="4"/>
      <c r="V1443" s="4"/>
      <c r="W1443" s="4"/>
      <c r="X1443" s="5" t="s">
        <v>7063</v>
      </c>
      <c r="Y1443" s="5"/>
      <c r="Z1443" s="4"/>
      <c r="AA1443" s="4"/>
      <c r="AB1443" s="4"/>
      <c r="AE1443" s="4"/>
      <c r="AF1443" s="4"/>
      <c r="AG1443" s="3"/>
      <c r="AH1443" s="3"/>
      <c r="AI1443" s="3"/>
      <c r="AJ1443" s="3"/>
      <c r="AK1443" s="4"/>
      <c r="AL1443" s="4"/>
      <c r="AM1443" s="3"/>
      <c r="AN1443" s="4"/>
      <c r="AO1443" s="4"/>
      <c r="AP1443" s="4"/>
      <c r="AQ1443" s="4"/>
      <c r="AR1443" s="4"/>
      <c r="AS1443" s="4"/>
      <c r="AT1443" s="4"/>
      <c r="AU1443" s="4"/>
      <c r="AV1443" s="4"/>
      <c r="AW1443" s="3"/>
      <c r="AX1443" s="4"/>
      <c r="AY1443" s="3"/>
      <c r="AZ1443" s="3"/>
      <c r="BA1443" s="3"/>
      <c r="BB1443" s="4"/>
      <c r="BC1443" s="3"/>
      <c r="BD1443" s="3"/>
      <c r="BE1443" s="4"/>
      <c r="BF1443" s="4"/>
      <c r="BG1443" s="4"/>
      <c r="BH1443" s="4"/>
      <c r="BI1443" s="4"/>
      <c r="BJ1443" s="4"/>
      <c r="BK1443" s="4"/>
      <c r="BL1443" s="4"/>
      <c r="BM1443" s="4"/>
      <c r="BN1443" s="4"/>
      <c r="BO1443" s="4"/>
      <c r="BP1443" s="4"/>
      <c r="BQ1443" s="4"/>
      <c r="BR1443" s="4"/>
      <c r="BS1443" s="4"/>
      <c r="BT1443" s="4"/>
      <c r="BU1443" s="4"/>
      <c r="BV1443" s="4"/>
      <c r="BW1443" s="4"/>
      <c r="BX1443" s="4"/>
      <c r="BY1443" s="4"/>
      <c r="BZ1443" s="4"/>
      <c r="CA1443" s="4"/>
      <c r="CB1443" s="4"/>
      <c r="CC1443" s="4"/>
      <c r="CD1443" s="4"/>
      <c r="CE1443" s="4"/>
      <c r="CF1443" s="4"/>
      <c r="CG1443" s="4"/>
      <c r="CH1443" s="4"/>
      <c r="CI1443" s="4"/>
      <c r="CJ1443" s="4"/>
      <c r="CK1443" s="4"/>
      <c r="CL1443" s="4"/>
      <c r="CM1443" s="4"/>
      <c r="CN1443" s="4"/>
      <c r="CO1443" s="4"/>
      <c r="CP1443" s="4"/>
      <c r="CQ1443" s="4"/>
      <c r="CR1443" s="3"/>
      <c r="CS1443" s="3"/>
      <c r="CT1443" s="4"/>
      <c r="CU1443" s="4"/>
      <c r="CV1443" s="4"/>
      <c r="CW1443" s="4"/>
      <c r="CX1443" s="4"/>
      <c r="CY1443" s="4"/>
      <c r="CZ1443" s="4"/>
      <c r="DA1443" s="4"/>
      <c r="DB1443" s="4"/>
      <c r="DC1443" s="4"/>
      <c r="DD1443" s="4"/>
      <c r="DE1443" s="4"/>
      <c r="DF1443" s="4"/>
      <c r="DG1443" s="4"/>
      <c r="DH1443" s="4"/>
      <c r="DI1443" s="4"/>
      <c r="DJ1443" s="4"/>
      <c r="DK1443" s="4"/>
      <c r="DL1443" s="4"/>
      <c r="DM1443" s="4"/>
      <c r="DN1443" s="4"/>
      <c r="DO1443" s="4"/>
      <c r="DP1443" s="4"/>
      <c r="DQ1443" s="4"/>
      <c r="DR1443" s="4"/>
      <c r="DS1443" s="4"/>
      <c r="DT1443" s="4"/>
      <c r="DU1443" s="4"/>
      <c r="DV1443" s="4"/>
      <c r="DW1443" s="4"/>
      <c r="DX1443" s="4"/>
      <c r="DY1443" s="4"/>
      <c r="DZ1443" s="4"/>
      <c r="EA1443" s="4"/>
      <c r="EB1443" s="4"/>
      <c r="EC1443" s="4"/>
      <c r="ED1443" s="4"/>
      <c r="EE1443" s="4"/>
    </row>
    <row r="1444" spans="1:149" hidden="1">
      <c r="A1444" s="11" t="s">
        <v>9940</v>
      </c>
      <c r="B1444" s="3" t="s">
        <v>8373</v>
      </c>
      <c r="C1444" s="3">
        <v>2016</v>
      </c>
      <c r="D1444" s="3" t="s">
        <v>3344</v>
      </c>
      <c r="E1444" s="3" t="s">
        <v>8932</v>
      </c>
      <c r="F1444" s="3">
        <v>1</v>
      </c>
      <c r="G1444" s="3"/>
      <c r="H1444" s="3" t="s">
        <v>3348</v>
      </c>
      <c r="I1444" s="3"/>
      <c r="J1444" s="3"/>
      <c r="K1444" s="3" t="s">
        <v>197</v>
      </c>
      <c r="L1444" s="4"/>
      <c r="M1444" s="3" t="s">
        <v>8509</v>
      </c>
      <c r="T1444" s="3" t="s">
        <v>3346</v>
      </c>
      <c r="V1444" s="3"/>
      <c r="W1444" s="4"/>
      <c r="X1444" s="5" t="s">
        <v>3349</v>
      </c>
      <c r="Y1444" s="5"/>
      <c r="Z1444" s="3">
        <v>1</v>
      </c>
      <c r="AA1444" s="4"/>
      <c r="AB1444" s="4"/>
      <c r="AE1444" s="3"/>
      <c r="AF1444" s="3"/>
      <c r="AG1444" s="4"/>
      <c r="AH1444" s="4"/>
      <c r="AI1444" s="4"/>
      <c r="AJ1444" s="4"/>
      <c r="AK1444" s="3"/>
      <c r="AL1444" s="3"/>
      <c r="AM1444" s="3"/>
      <c r="AN1444" s="3"/>
      <c r="AO1444" s="4"/>
      <c r="AP1444" s="3"/>
      <c r="AQ1444" s="4"/>
      <c r="AR1444" s="3"/>
      <c r="AS1444" s="3"/>
      <c r="AT1444" s="4"/>
      <c r="AU1444" s="3"/>
      <c r="AV1444" s="4"/>
      <c r="AW1444" s="4"/>
      <c r="AX1444" s="4"/>
      <c r="AY1444" s="4"/>
      <c r="AZ1444" s="4"/>
      <c r="BA1444" s="4"/>
      <c r="BB1444" s="4"/>
      <c r="BC1444" s="4"/>
      <c r="BD1444" s="4"/>
      <c r="BE1444" s="4"/>
      <c r="BF1444" s="3"/>
      <c r="BG1444" s="3"/>
      <c r="BH1444" s="3"/>
      <c r="BI1444" s="4"/>
      <c r="BJ1444" s="3"/>
      <c r="BK1444" s="4"/>
      <c r="BL1444" s="4"/>
      <c r="BM1444" s="3"/>
      <c r="BN1444" s="4"/>
      <c r="BO1444" s="4"/>
      <c r="BP1444" s="4"/>
      <c r="BQ1444" s="4"/>
      <c r="BR1444" s="4"/>
      <c r="BS1444" s="4"/>
      <c r="BT1444" s="4"/>
      <c r="BU1444" s="4"/>
      <c r="BV1444" s="4"/>
      <c r="BW1444" s="4"/>
      <c r="BX1444" s="4"/>
      <c r="BY1444" s="4"/>
      <c r="BZ1444" s="4"/>
      <c r="CA1444" s="4"/>
      <c r="CB1444" s="4"/>
      <c r="CC1444" s="4"/>
      <c r="CD1444" s="4"/>
      <c r="CE1444" s="4"/>
      <c r="CF1444" s="4"/>
      <c r="CG1444" s="4"/>
      <c r="CH1444" s="4"/>
      <c r="CI1444" s="4"/>
      <c r="CJ1444" s="4"/>
      <c r="CK1444" s="4"/>
      <c r="CL1444" s="4"/>
      <c r="CM1444" s="4"/>
      <c r="CN1444" s="4"/>
      <c r="CO1444" s="4"/>
      <c r="CP1444" s="4"/>
      <c r="CQ1444" s="4"/>
      <c r="CR1444" s="4"/>
      <c r="CS1444" s="4"/>
      <c r="CT1444" s="4"/>
      <c r="CU1444" s="4"/>
      <c r="CV1444" s="4"/>
      <c r="CW1444" s="4"/>
      <c r="CX1444" s="4"/>
      <c r="CY1444" s="4"/>
      <c r="CZ1444" s="4"/>
      <c r="DA1444" s="4"/>
      <c r="DB1444" s="4"/>
      <c r="DC1444" s="4"/>
      <c r="DD1444" s="4"/>
      <c r="DE1444" s="3"/>
      <c r="DF1444" s="3"/>
      <c r="DG1444" s="8"/>
      <c r="DH1444" s="4"/>
      <c r="DI1444" s="4"/>
      <c r="DJ1444" s="4"/>
      <c r="DK1444" s="4"/>
      <c r="DL1444" s="8"/>
      <c r="DM1444" s="8"/>
      <c r="DN1444" s="8"/>
      <c r="DO1444" s="8"/>
      <c r="DP1444" s="4"/>
      <c r="DQ1444" s="4"/>
      <c r="DR1444" s="4"/>
      <c r="DS1444" s="4"/>
      <c r="DT1444" s="4"/>
      <c r="DU1444" s="4"/>
      <c r="DV1444" s="4"/>
      <c r="DW1444" s="4"/>
      <c r="DX1444" s="4"/>
      <c r="DY1444" s="4"/>
      <c r="DZ1444" s="4"/>
      <c r="EA1444" s="4"/>
      <c r="EB1444" s="4"/>
      <c r="EC1444" s="4"/>
      <c r="ED1444" s="4"/>
      <c r="EE1444" s="4"/>
      <c r="EF1444" s="4"/>
      <c r="EG1444" s="4"/>
      <c r="EH1444" s="4"/>
      <c r="EI1444" s="4"/>
      <c r="EJ1444" s="8"/>
      <c r="EK1444" s="8"/>
      <c r="EL1444" s="8"/>
      <c r="EM1444" s="8"/>
      <c r="EN1444" s="8"/>
      <c r="EO1444" s="8"/>
      <c r="EP1444" s="4"/>
      <c r="EQ1444" s="4"/>
      <c r="ER1444" s="4"/>
    </row>
    <row r="1445" spans="1:149" hidden="1">
      <c r="A1445" s="11" t="s">
        <v>9940</v>
      </c>
      <c r="B1445" s="3" t="s">
        <v>8373</v>
      </c>
      <c r="C1445" s="3">
        <v>2001</v>
      </c>
      <c r="D1445" s="3" t="s">
        <v>8933</v>
      </c>
      <c r="E1445" s="3" t="s">
        <v>8934</v>
      </c>
      <c r="F1445" s="3">
        <v>1</v>
      </c>
      <c r="G1445" s="3"/>
      <c r="H1445" s="3" t="s">
        <v>8937</v>
      </c>
      <c r="I1445" s="3"/>
      <c r="J1445" s="3"/>
      <c r="K1445" s="3" t="s">
        <v>132</v>
      </c>
      <c r="L1445" s="4"/>
      <c r="M1445" s="3" t="s">
        <v>8382</v>
      </c>
      <c r="T1445" s="3" t="s">
        <v>8935</v>
      </c>
      <c r="V1445" s="3"/>
      <c r="W1445" s="4"/>
      <c r="X1445" s="5" t="s">
        <v>8936</v>
      </c>
      <c r="Y1445" s="5"/>
      <c r="Z1445" s="3">
        <v>1</v>
      </c>
      <c r="AA1445" s="4"/>
      <c r="AB1445" s="4"/>
      <c r="AE1445" s="3"/>
      <c r="AF1445" s="3"/>
      <c r="AG1445" s="4"/>
      <c r="AH1445" s="4"/>
      <c r="AI1445" s="4"/>
      <c r="AJ1445" s="4"/>
      <c r="AK1445" s="3"/>
      <c r="AL1445" s="3"/>
      <c r="AM1445" s="3"/>
      <c r="AN1445" s="3"/>
      <c r="AO1445" s="4"/>
      <c r="AP1445" s="3"/>
      <c r="AQ1445" s="4"/>
      <c r="AR1445" s="3"/>
      <c r="AS1445" s="3"/>
      <c r="AT1445" s="4"/>
      <c r="AU1445" s="3"/>
      <c r="AV1445" s="4"/>
      <c r="AW1445" s="4"/>
      <c r="AX1445" s="4"/>
      <c r="AY1445" s="4"/>
      <c r="AZ1445" s="4"/>
      <c r="BA1445" s="4"/>
      <c r="BB1445" s="4"/>
      <c r="BC1445" s="4"/>
      <c r="BD1445" s="4"/>
      <c r="BE1445" s="4"/>
      <c r="BF1445" s="3"/>
      <c r="BG1445" s="3"/>
      <c r="BH1445" s="3"/>
      <c r="BI1445" s="4"/>
      <c r="BJ1445" s="3"/>
      <c r="BK1445" s="4"/>
      <c r="BL1445" s="4"/>
      <c r="BM1445" s="3"/>
      <c r="BN1445" s="4"/>
      <c r="BO1445" s="4"/>
      <c r="BP1445" s="4"/>
      <c r="BQ1445" s="4"/>
      <c r="BR1445" s="4"/>
      <c r="BS1445" s="4"/>
      <c r="BT1445" s="4"/>
      <c r="BU1445" s="4"/>
      <c r="BV1445" s="4"/>
      <c r="BW1445" s="4"/>
      <c r="BX1445" s="4"/>
      <c r="BY1445" s="4"/>
      <c r="BZ1445" s="4"/>
      <c r="CA1445" s="4"/>
      <c r="CB1445" s="4"/>
      <c r="CC1445" s="4"/>
      <c r="CD1445" s="4"/>
      <c r="CE1445" s="4"/>
      <c r="CF1445" s="4"/>
      <c r="CG1445" s="4"/>
      <c r="CH1445" s="4"/>
      <c r="CI1445" s="4"/>
      <c r="CJ1445" s="4"/>
      <c r="CK1445" s="4"/>
      <c r="CL1445" s="4"/>
      <c r="CM1445" s="4"/>
      <c r="CN1445" s="4"/>
      <c r="CO1445" s="4"/>
      <c r="CP1445" s="4"/>
      <c r="CQ1445" s="4"/>
      <c r="CR1445" s="4"/>
      <c r="CS1445" s="4"/>
      <c r="CT1445" s="4"/>
      <c r="CU1445" s="4"/>
      <c r="CV1445" s="4"/>
      <c r="CW1445" s="4"/>
      <c r="CX1445" s="4"/>
      <c r="CY1445" s="4"/>
      <c r="CZ1445" s="3"/>
      <c r="DA1445" s="3"/>
      <c r="DB1445" s="8"/>
      <c r="DC1445" s="4"/>
      <c r="DD1445" s="4"/>
      <c r="DE1445" s="4"/>
      <c r="DF1445" s="4"/>
      <c r="DG1445" s="8"/>
      <c r="DH1445" s="8"/>
      <c r="DI1445" s="8"/>
      <c r="DJ1445" s="8"/>
      <c r="DK1445" s="4"/>
      <c r="DL1445" s="4"/>
      <c r="DM1445" s="4"/>
      <c r="DN1445" s="4"/>
      <c r="DO1445" s="4"/>
      <c r="DP1445" s="4"/>
      <c r="DQ1445" s="4"/>
      <c r="DR1445" s="4"/>
      <c r="DS1445" s="4"/>
      <c r="DT1445" s="4"/>
      <c r="DU1445" s="4"/>
      <c r="DV1445" s="4"/>
      <c r="DW1445" s="4"/>
      <c r="DX1445" s="4"/>
      <c r="DY1445" s="4"/>
      <c r="DZ1445" s="4"/>
      <c r="EA1445" s="4"/>
      <c r="EB1445" s="4"/>
      <c r="EC1445" s="4"/>
      <c r="ED1445" s="4"/>
      <c r="EE1445" s="8"/>
      <c r="EF1445" s="8"/>
      <c r="EG1445" s="8"/>
      <c r="EH1445" s="8"/>
      <c r="EI1445" s="8"/>
      <c r="EJ1445" s="8"/>
      <c r="EK1445" s="4"/>
      <c r="EL1445" s="4"/>
      <c r="EM1445" s="4"/>
    </row>
    <row r="1446" spans="1:149" hidden="1">
      <c r="A1446" s="11" t="s">
        <v>9940</v>
      </c>
      <c r="B1446" s="3" t="s">
        <v>8379</v>
      </c>
      <c r="C1446" s="3">
        <v>2009</v>
      </c>
      <c r="D1446" s="3" t="s">
        <v>4559</v>
      </c>
      <c r="E1446" s="3" t="s">
        <v>8938</v>
      </c>
      <c r="F1446" s="3">
        <v>1</v>
      </c>
      <c r="G1446" s="4"/>
      <c r="H1446" s="3" t="s">
        <v>4562</v>
      </c>
      <c r="I1446" s="3"/>
      <c r="J1446" s="3"/>
      <c r="K1446" s="4"/>
      <c r="L1446" s="4"/>
      <c r="M1446" s="4"/>
      <c r="T1446" s="4"/>
      <c r="V1446" s="3"/>
      <c r="W1446" s="4"/>
      <c r="X1446" s="5" t="s">
        <v>4563</v>
      </c>
      <c r="Y1446" s="5"/>
      <c r="Z1446" s="3">
        <v>1</v>
      </c>
      <c r="AA1446" s="4"/>
      <c r="AB1446" s="4"/>
      <c r="AE1446" s="3"/>
      <c r="AF1446" s="3"/>
      <c r="AG1446" s="3"/>
      <c r="AH1446" s="4"/>
      <c r="AI1446" s="4"/>
      <c r="AJ1446" s="4"/>
      <c r="AK1446" s="3"/>
      <c r="AL1446" s="3"/>
      <c r="AM1446" s="3"/>
      <c r="AN1446" s="3"/>
      <c r="AO1446" s="4"/>
      <c r="AP1446" s="4"/>
      <c r="AQ1446" s="3"/>
      <c r="AR1446" s="4"/>
      <c r="AS1446" s="4"/>
      <c r="AT1446" s="4"/>
      <c r="AU1446" s="4"/>
      <c r="AV1446" s="4"/>
      <c r="AW1446" s="4"/>
      <c r="AX1446" s="4"/>
      <c r="AY1446" s="4"/>
      <c r="AZ1446" s="4"/>
      <c r="BA1446" s="3"/>
      <c r="BB1446" s="4"/>
      <c r="BC1446" s="3"/>
      <c r="BD1446" s="3"/>
      <c r="BE1446" s="3"/>
      <c r="BF1446" s="4"/>
      <c r="BG1446" s="3"/>
      <c r="BH1446" s="3"/>
      <c r="BI1446" s="4"/>
      <c r="BJ1446" s="4"/>
      <c r="BK1446" s="4"/>
      <c r="BL1446" s="4"/>
      <c r="BM1446" s="4"/>
      <c r="BN1446" s="4"/>
      <c r="BO1446" s="4"/>
      <c r="BP1446" s="4"/>
      <c r="BQ1446" s="4"/>
      <c r="BR1446" s="4"/>
      <c r="BS1446" s="4"/>
      <c r="BT1446" s="4"/>
      <c r="BU1446" s="4"/>
      <c r="BV1446" s="4"/>
      <c r="BW1446" s="4"/>
      <c r="BX1446" s="4"/>
      <c r="BY1446" s="4"/>
      <c r="BZ1446" s="4"/>
      <c r="CA1446" s="4"/>
      <c r="CB1446" s="4"/>
      <c r="CC1446" s="4"/>
      <c r="CD1446" s="4"/>
      <c r="CE1446" s="4"/>
      <c r="CF1446" s="4"/>
      <c r="CG1446" s="4"/>
      <c r="CH1446" s="4"/>
      <c r="CI1446" s="4"/>
      <c r="CJ1446" s="4"/>
      <c r="CK1446" s="4"/>
      <c r="CL1446" s="4"/>
      <c r="CM1446" s="4"/>
      <c r="CN1446" s="4"/>
      <c r="CO1446" s="4"/>
      <c r="CP1446" s="4"/>
      <c r="CQ1446" s="4"/>
      <c r="CR1446" s="4"/>
      <c r="CS1446" s="4"/>
      <c r="CT1446" s="4"/>
      <c r="CU1446" s="4"/>
      <c r="CV1446" s="4"/>
      <c r="CW1446" s="4"/>
      <c r="CX1446" s="4"/>
      <c r="CY1446" s="4"/>
      <c r="CZ1446" s="3"/>
      <c r="DA1446" s="3"/>
      <c r="DB1446" s="8"/>
      <c r="DC1446" s="4"/>
      <c r="DD1446" s="4"/>
      <c r="DE1446" s="4"/>
      <c r="DF1446" s="4"/>
      <c r="DG1446" s="8"/>
      <c r="DH1446" s="8"/>
      <c r="DI1446" s="8"/>
      <c r="DJ1446" s="8"/>
      <c r="DK1446" s="4"/>
      <c r="DL1446" s="4"/>
      <c r="DM1446" s="4"/>
      <c r="DN1446" s="4"/>
      <c r="DO1446" s="4"/>
      <c r="DP1446" s="4"/>
      <c r="DQ1446" s="4"/>
      <c r="DR1446" s="4"/>
      <c r="DS1446" s="4"/>
      <c r="DT1446" s="4"/>
      <c r="DU1446" s="4"/>
      <c r="DV1446" s="4"/>
      <c r="DW1446" s="4"/>
      <c r="DX1446" s="4"/>
      <c r="DY1446" s="4"/>
      <c r="DZ1446" s="4"/>
      <c r="EA1446" s="4"/>
      <c r="EB1446" s="4"/>
      <c r="EC1446" s="4"/>
      <c r="ED1446" s="4"/>
      <c r="EE1446" s="8"/>
      <c r="EF1446" s="8"/>
      <c r="EG1446" s="8"/>
      <c r="EH1446" s="8"/>
      <c r="EI1446" s="8"/>
      <c r="EJ1446" s="8"/>
      <c r="EK1446" s="4"/>
      <c r="EL1446" s="4"/>
      <c r="EM1446" s="4"/>
    </row>
    <row r="1447" spans="1:149" hidden="1">
      <c r="A1447" s="11" t="s">
        <v>9940</v>
      </c>
      <c r="B1447" s="3" t="s">
        <v>8379</v>
      </c>
      <c r="C1447" s="3">
        <v>2009</v>
      </c>
      <c r="D1447" s="3" t="s">
        <v>3708</v>
      </c>
      <c r="E1447" s="3" t="s">
        <v>8939</v>
      </c>
      <c r="F1447" s="3">
        <v>1</v>
      </c>
      <c r="G1447" s="4"/>
      <c r="H1447" s="3" t="s">
        <v>3711</v>
      </c>
      <c r="I1447" s="3"/>
      <c r="J1447" s="3"/>
      <c r="K1447" s="4"/>
      <c r="L1447" s="4"/>
      <c r="M1447" s="4"/>
      <c r="T1447" s="4"/>
      <c r="V1447" s="3"/>
      <c r="W1447" s="4"/>
      <c r="X1447" s="5" t="s">
        <v>3712</v>
      </c>
      <c r="Y1447" s="5"/>
      <c r="Z1447" s="3">
        <v>1</v>
      </c>
      <c r="AA1447" s="4"/>
      <c r="AB1447" s="4"/>
      <c r="AE1447" s="3"/>
      <c r="AF1447" s="3"/>
      <c r="AG1447" s="3"/>
      <c r="AH1447" s="4"/>
      <c r="AI1447" s="4"/>
      <c r="AJ1447" s="4"/>
      <c r="AK1447" s="3"/>
      <c r="AL1447" s="3"/>
      <c r="AM1447" s="3"/>
      <c r="AN1447" s="3"/>
      <c r="AO1447" s="4"/>
      <c r="AP1447" s="4"/>
      <c r="AQ1447" s="3"/>
      <c r="AR1447" s="4"/>
      <c r="AS1447" s="4"/>
      <c r="AT1447" s="4"/>
      <c r="AU1447" s="4"/>
      <c r="AV1447" s="4"/>
      <c r="AW1447" s="4"/>
      <c r="AX1447" s="4"/>
      <c r="AY1447" s="4"/>
      <c r="AZ1447" s="4"/>
      <c r="BA1447" s="3"/>
      <c r="BB1447" s="4"/>
      <c r="BC1447" s="3"/>
      <c r="BD1447" s="3"/>
      <c r="BE1447" s="3"/>
      <c r="BF1447" s="4"/>
      <c r="BG1447" s="3"/>
      <c r="BH1447" s="3"/>
      <c r="BI1447" s="4"/>
      <c r="BJ1447" s="4"/>
      <c r="BK1447" s="4"/>
      <c r="BL1447" s="4"/>
      <c r="BM1447" s="4"/>
      <c r="BN1447" s="4"/>
      <c r="BO1447" s="4"/>
      <c r="BP1447" s="4"/>
      <c r="BQ1447" s="4"/>
      <c r="BR1447" s="4"/>
      <c r="BS1447" s="4"/>
      <c r="BT1447" s="4"/>
      <c r="BU1447" s="4"/>
      <c r="BV1447" s="4"/>
      <c r="BW1447" s="4"/>
      <c r="BX1447" s="4"/>
      <c r="BY1447" s="4"/>
      <c r="BZ1447" s="4"/>
      <c r="CA1447" s="4"/>
      <c r="CB1447" s="4"/>
      <c r="CC1447" s="4"/>
      <c r="CD1447" s="4"/>
      <c r="CE1447" s="4"/>
      <c r="CF1447" s="4"/>
      <c r="CG1447" s="4"/>
      <c r="CH1447" s="4"/>
      <c r="CI1447" s="4"/>
      <c r="CJ1447" s="4"/>
      <c r="CK1447" s="4"/>
      <c r="CL1447" s="4"/>
      <c r="CM1447" s="4"/>
      <c r="CN1447" s="4"/>
      <c r="CO1447" s="4"/>
      <c r="CP1447" s="4"/>
      <c r="CQ1447" s="4"/>
      <c r="CR1447" s="4"/>
      <c r="CS1447" s="4"/>
      <c r="CT1447" s="4"/>
      <c r="CU1447" s="4"/>
      <c r="CV1447" s="4"/>
      <c r="CW1447" s="4"/>
      <c r="CX1447" s="4"/>
      <c r="CY1447" s="4"/>
      <c r="CZ1447" s="4"/>
      <c r="DA1447" s="4"/>
      <c r="DB1447" s="4"/>
      <c r="DC1447" s="3"/>
      <c r="DD1447" s="3"/>
      <c r="DE1447" s="3"/>
      <c r="DF1447" s="4"/>
      <c r="DG1447" s="4"/>
      <c r="DH1447" s="4"/>
      <c r="DI1447" s="4"/>
      <c r="DJ1447" s="8"/>
      <c r="DK1447" s="8"/>
      <c r="DL1447" s="8"/>
      <c r="DM1447" s="8"/>
      <c r="DN1447" s="4"/>
      <c r="DO1447" s="4"/>
      <c r="DP1447" s="4"/>
      <c r="DQ1447" s="4"/>
      <c r="DR1447" s="4"/>
      <c r="DS1447" s="4"/>
      <c r="DT1447" s="4"/>
      <c r="DU1447" s="4"/>
      <c r="DV1447" s="4"/>
      <c r="DW1447" s="4"/>
      <c r="DX1447" s="4"/>
      <c r="DY1447" s="4"/>
      <c r="DZ1447" s="4"/>
      <c r="EA1447" s="4"/>
      <c r="EB1447" s="4"/>
      <c r="EC1447" s="4"/>
      <c r="ED1447" s="4"/>
      <c r="EE1447" s="4"/>
      <c r="EF1447" s="4"/>
      <c r="EG1447" s="4"/>
      <c r="EH1447" s="8"/>
      <c r="EI1447" s="8"/>
      <c r="EJ1447" s="8"/>
      <c r="EK1447" s="8"/>
      <c r="EL1447" s="8"/>
      <c r="EM1447" s="8"/>
      <c r="EN1447" s="4"/>
      <c r="EO1447" s="4"/>
      <c r="EP1447" s="3"/>
    </row>
    <row r="1448" spans="1:149" hidden="1">
      <c r="A1448" s="11" t="s">
        <v>9940</v>
      </c>
      <c r="B1448" s="3" t="s">
        <v>8373</v>
      </c>
      <c r="C1448" s="3">
        <v>1985</v>
      </c>
      <c r="D1448" s="3" t="s">
        <v>8940</v>
      </c>
      <c r="E1448" s="3" t="s">
        <v>8941</v>
      </c>
      <c r="F1448" s="3">
        <v>1</v>
      </c>
      <c r="G1448" s="3"/>
      <c r="H1448" s="3" t="s">
        <v>8944</v>
      </c>
      <c r="I1448" s="3"/>
      <c r="J1448" s="3"/>
      <c r="K1448" s="3" t="s">
        <v>766</v>
      </c>
      <c r="L1448" s="4"/>
      <c r="M1448" s="3" t="s">
        <v>8648</v>
      </c>
      <c r="T1448" s="3" t="s">
        <v>8942</v>
      </c>
      <c r="V1448" s="3"/>
      <c r="W1448" s="3"/>
      <c r="X1448" s="5" t="s">
        <v>8943</v>
      </c>
      <c r="Y1448" s="5"/>
      <c r="Z1448" s="3">
        <v>1</v>
      </c>
      <c r="AA1448" s="4"/>
      <c r="AB1448" s="3"/>
      <c r="AE1448" s="3"/>
      <c r="AF1448" s="3"/>
      <c r="AG1448" s="4"/>
      <c r="AH1448" s="4"/>
      <c r="AI1448" s="4"/>
      <c r="AJ1448" s="4"/>
      <c r="AK1448" s="3"/>
      <c r="AL1448" s="3"/>
      <c r="AM1448" s="3"/>
      <c r="AN1448" s="3"/>
      <c r="AO1448" s="4"/>
      <c r="AP1448" s="3"/>
      <c r="AQ1448" s="4"/>
      <c r="AR1448" s="3"/>
      <c r="AS1448" s="3"/>
      <c r="AT1448" s="4"/>
      <c r="AU1448" s="3"/>
      <c r="AV1448" s="4"/>
      <c r="AW1448" s="4"/>
      <c r="AX1448" s="4"/>
      <c r="AY1448" s="4"/>
      <c r="AZ1448" s="4"/>
      <c r="BA1448" s="4"/>
      <c r="BB1448" s="4"/>
      <c r="BC1448" s="4"/>
      <c r="BD1448" s="4"/>
      <c r="BE1448" s="4"/>
      <c r="BF1448" s="3"/>
      <c r="BG1448" s="3"/>
      <c r="BH1448" s="3"/>
      <c r="BI1448" s="4"/>
      <c r="BJ1448" s="3"/>
      <c r="BK1448" s="4"/>
      <c r="BL1448" s="4"/>
      <c r="BM1448" s="3"/>
      <c r="BN1448" s="4"/>
      <c r="BO1448" s="4"/>
      <c r="BP1448" s="4"/>
      <c r="BQ1448" s="4"/>
      <c r="BR1448" s="4"/>
      <c r="BS1448" s="4"/>
      <c r="BT1448" s="4"/>
      <c r="BU1448" s="4"/>
      <c r="BV1448" s="4"/>
      <c r="BW1448" s="4"/>
      <c r="BX1448" s="4"/>
      <c r="BY1448" s="4"/>
      <c r="BZ1448" s="4"/>
      <c r="CA1448" s="4"/>
      <c r="CB1448" s="4"/>
      <c r="CC1448" s="4"/>
      <c r="CD1448" s="4"/>
      <c r="CE1448" s="4"/>
      <c r="CF1448" s="4"/>
      <c r="CG1448" s="4"/>
      <c r="CH1448" s="4"/>
      <c r="CI1448" s="4"/>
      <c r="CJ1448" s="4"/>
      <c r="CK1448" s="4"/>
      <c r="CL1448" s="4"/>
      <c r="CM1448" s="4"/>
      <c r="CN1448" s="4"/>
      <c r="CO1448" s="4"/>
      <c r="CP1448" s="4"/>
      <c r="CQ1448" s="4"/>
      <c r="CR1448" s="4"/>
      <c r="CS1448" s="4"/>
      <c r="CT1448" s="4"/>
      <c r="CU1448" s="3"/>
      <c r="CV1448" s="3"/>
      <c r="CW1448" s="8"/>
      <c r="CX1448" s="4"/>
      <c r="CY1448" s="4"/>
      <c r="CZ1448" s="4"/>
      <c r="DA1448" s="4"/>
      <c r="DB1448" s="8"/>
      <c r="DC1448" s="8"/>
      <c r="DD1448" s="8"/>
      <c r="DE1448" s="8"/>
      <c r="DF1448" s="4"/>
      <c r="DG1448" s="4"/>
      <c r="DH1448" s="4"/>
      <c r="DI1448" s="4"/>
      <c r="DJ1448" s="4"/>
      <c r="DK1448" s="4"/>
      <c r="DL1448" s="4"/>
      <c r="DM1448" s="4"/>
      <c r="DN1448" s="4"/>
      <c r="DO1448" s="4"/>
      <c r="DP1448" s="4"/>
      <c r="DQ1448" s="4"/>
      <c r="DR1448" s="4"/>
      <c r="DS1448" s="4"/>
      <c r="DT1448" s="4"/>
      <c r="DU1448" s="4"/>
      <c r="DV1448" s="4"/>
      <c r="DW1448" s="4"/>
      <c r="DX1448" s="4"/>
      <c r="DY1448" s="4"/>
      <c r="DZ1448" s="8"/>
      <c r="EA1448" s="8"/>
      <c r="EB1448" s="8"/>
      <c r="EC1448" s="8"/>
      <c r="ED1448" s="8"/>
      <c r="EE1448" s="8"/>
      <c r="EF1448" s="4"/>
      <c r="EG1448" s="4"/>
      <c r="EH1448" s="4"/>
    </row>
    <row r="1449" spans="1:149" hidden="1">
      <c r="A1449" s="11" t="s">
        <v>9940</v>
      </c>
      <c r="B1449" s="3" t="s">
        <v>8373</v>
      </c>
      <c r="C1449" s="3">
        <v>2002</v>
      </c>
      <c r="D1449" s="3" t="s">
        <v>9621</v>
      </c>
      <c r="E1449" s="3" t="s">
        <v>9622</v>
      </c>
      <c r="F1449" s="3">
        <v>0</v>
      </c>
      <c r="G1449" s="3" t="s">
        <v>9237</v>
      </c>
      <c r="H1449" s="3" t="s">
        <v>9627</v>
      </c>
      <c r="I1449" s="3"/>
      <c r="J1449" s="3"/>
      <c r="K1449" s="3" t="s">
        <v>9623</v>
      </c>
      <c r="L1449" s="4"/>
      <c r="M1449" s="3" t="s">
        <v>9624</v>
      </c>
      <c r="T1449" s="3" t="s">
        <v>9625</v>
      </c>
      <c r="V1449" s="4"/>
      <c r="W1449" s="4"/>
      <c r="X1449" s="5" t="s">
        <v>9626</v>
      </c>
      <c r="Y1449" s="5"/>
      <c r="Z1449" s="4"/>
      <c r="AA1449" s="4"/>
      <c r="AB1449" s="4"/>
      <c r="AE1449" s="4"/>
      <c r="AF1449" s="4"/>
      <c r="AG1449" s="3"/>
      <c r="AH1449" s="3"/>
      <c r="AI1449" s="3"/>
      <c r="AJ1449" s="3"/>
      <c r="AK1449" s="4"/>
      <c r="AL1449" s="3"/>
      <c r="AM1449" s="4"/>
      <c r="AN1449" s="3"/>
      <c r="AO1449" s="3"/>
      <c r="AP1449" s="4"/>
      <c r="AQ1449" s="3"/>
      <c r="AR1449" s="4"/>
      <c r="AS1449" s="3"/>
      <c r="AT1449" s="4"/>
      <c r="AU1449" s="4"/>
      <c r="AV1449" s="4"/>
      <c r="AW1449" s="4"/>
      <c r="AX1449" s="4"/>
      <c r="AY1449" s="4"/>
      <c r="AZ1449" s="3"/>
      <c r="BA1449" s="3"/>
      <c r="BB1449" s="3"/>
      <c r="BC1449" s="4"/>
      <c r="BD1449" s="3"/>
      <c r="BE1449" s="4"/>
      <c r="BF1449" s="3"/>
      <c r="BG1449" s="4"/>
      <c r="BH1449" s="4"/>
      <c r="BI1449" s="4"/>
      <c r="BJ1449" s="4"/>
      <c r="BK1449" s="4"/>
      <c r="BL1449" s="4"/>
      <c r="BM1449" s="4"/>
      <c r="BN1449" s="4"/>
      <c r="BO1449" s="4"/>
      <c r="BP1449" s="4"/>
      <c r="BQ1449" s="4"/>
      <c r="BR1449" s="4"/>
      <c r="BS1449" s="4"/>
      <c r="BT1449" s="4"/>
      <c r="BU1449" s="4"/>
      <c r="BV1449" s="4"/>
      <c r="BW1449" s="4"/>
      <c r="BX1449" s="4"/>
      <c r="BY1449" s="4"/>
      <c r="BZ1449" s="4"/>
      <c r="CA1449" s="4"/>
      <c r="CB1449" s="4"/>
      <c r="CC1449" s="4"/>
      <c r="CD1449" s="4"/>
      <c r="CE1449" s="4"/>
      <c r="CF1449" s="4"/>
      <c r="CG1449" s="4"/>
      <c r="CH1449" s="4"/>
      <c r="CI1449" s="4"/>
      <c r="CJ1449" s="4"/>
      <c r="CK1449" s="4"/>
      <c r="CL1449" s="4"/>
      <c r="CM1449" s="4"/>
      <c r="CN1449" s="4"/>
      <c r="CO1449" s="4"/>
      <c r="CP1449" s="4"/>
      <c r="CQ1449" s="4"/>
      <c r="CR1449" s="4"/>
      <c r="CS1449" s="4"/>
      <c r="CT1449" s="3"/>
      <c r="CU1449" s="3"/>
      <c r="CV1449" s="4"/>
      <c r="CW1449" s="4"/>
      <c r="CX1449" s="4"/>
      <c r="CY1449" s="4"/>
      <c r="CZ1449" s="4"/>
      <c r="DA1449" s="4"/>
      <c r="DB1449" s="4"/>
      <c r="DC1449" s="4"/>
      <c r="DD1449" s="4"/>
      <c r="DE1449" s="4"/>
      <c r="DF1449" s="4"/>
      <c r="DG1449" s="4"/>
      <c r="DH1449" s="4"/>
      <c r="DI1449" s="4"/>
      <c r="DJ1449" s="4"/>
      <c r="DK1449" s="4"/>
      <c r="DL1449" s="4"/>
      <c r="DM1449" s="4"/>
      <c r="DN1449" s="4"/>
      <c r="DO1449" s="4"/>
      <c r="DP1449" s="4"/>
      <c r="DQ1449" s="4"/>
      <c r="DR1449" s="4"/>
      <c r="DS1449" s="4"/>
      <c r="DT1449" s="4"/>
      <c r="DU1449" s="4"/>
      <c r="DV1449" s="4"/>
      <c r="DW1449" s="4"/>
      <c r="DX1449" s="4"/>
      <c r="DY1449" s="4"/>
      <c r="DZ1449" s="4"/>
      <c r="EA1449" s="4"/>
      <c r="EB1449" s="4"/>
      <c r="EC1449" s="4"/>
      <c r="ED1449" s="4"/>
      <c r="EE1449" s="4"/>
      <c r="EF1449" s="4"/>
      <c r="EG1449" s="4"/>
    </row>
    <row r="1450" spans="1:149" hidden="1">
      <c r="A1450" s="11" t="s">
        <v>9940</v>
      </c>
      <c r="B1450" s="3" t="s">
        <v>8373</v>
      </c>
      <c r="C1450" s="3">
        <v>2015</v>
      </c>
      <c r="D1450" s="3" t="s">
        <v>5743</v>
      </c>
      <c r="E1450" s="3" t="s">
        <v>9628</v>
      </c>
      <c r="F1450" s="3">
        <v>1</v>
      </c>
      <c r="G1450" s="3"/>
      <c r="H1450" s="3" t="s">
        <v>9630</v>
      </c>
      <c r="I1450" s="3"/>
      <c r="J1450" s="3"/>
      <c r="K1450" s="3" t="s">
        <v>5744</v>
      </c>
      <c r="L1450" s="4"/>
      <c r="M1450" s="3" t="s">
        <v>9629</v>
      </c>
      <c r="T1450" s="3" t="s">
        <v>5746</v>
      </c>
      <c r="V1450" s="3"/>
      <c r="W1450" s="3"/>
      <c r="X1450" s="5" t="s">
        <v>5749</v>
      </c>
      <c r="Y1450" s="5"/>
      <c r="Z1450" s="3">
        <v>0</v>
      </c>
      <c r="AA1450" s="3" t="s">
        <v>9178</v>
      </c>
      <c r="AB1450" s="4"/>
      <c r="AE1450" s="3"/>
      <c r="AF1450" s="4"/>
      <c r="AG1450" s="4"/>
      <c r="AH1450" s="4"/>
      <c r="AI1450" s="4"/>
      <c r="AJ1450" s="4"/>
      <c r="AK1450" s="3"/>
      <c r="AL1450" s="3"/>
      <c r="AM1450" s="3"/>
      <c r="AN1450" s="3"/>
      <c r="AO1450" s="4"/>
      <c r="AP1450" s="3"/>
      <c r="AQ1450" s="4"/>
      <c r="AR1450" s="10"/>
      <c r="AS1450" s="3"/>
      <c r="AT1450" s="4"/>
      <c r="AU1450" s="3"/>
      <c r="AV1450" s="4"/>
      <c r="AW1450" s="4"/>
      <c r="AX1450" s="4"/>
      <c r="AY1450" s="4"/>
      <c r="AZ1450" s="4"/>
      <c r="BA1450" s="4"/>
      <c r="BB1450" s="4"/>
      <c r="BC1450" s="4"/>
      <c r="BD1450" s="4"/>
      <c r="BE1450" s="4"/>
      <c r="BF1450" s="3"/>
      <c r="BG1450" s="3"/>
      <c r="BH1450" s="3"/>
      <c r="BI1450" s="4"/>
      <c r="BJ1450" s="3"/>
      <c r="BK1450" s="4"/>
      <c r="BL1450" s="3"/>
      <c r="BM1450" s="4"/>
      <c r="BN1450" s="4"/>
      <c r="BO1450" s="4"/>
      <c r="BP1450" s="4"/>
      <c r="BQ1450" s="4"/>
      <c r="BR1450" s="4"/>
      <c r="BS1450" s="4"/>
      <c r="BT1450" s="4"/>
      <c r="BU1450" s="4"/>
      <c r="BV1450" s="4"/>
      <c r="BW1450" s="4"/>
      <c r="BX1450" s="4"/>
      <c r="BY1450" s="4"/>
      <c r="BZ1450" s="4"/>
      <c r="CA1450" s="4"/>
      <c r="CB1450" s="4"/>
      <c r="CC1450" s="4"/>
      <c r="CD1450" s="4"/>
      <c r="CE1450" s="4"/>
      <c r="CF1450" s="4"/>
      <c r="CG1450" s="4"/>
      <c r="CH1450" s="4"/>
      <c r="CI1450" s="4"/>
      <c r="CJ1450" s="4"/>
      <c r="CK1450" s="4"/>
      <c r="CL1450" s="4"/>
      <c r="CM1450" s="4"/>
      <c r="CN1450" s="4"/>
      <c r="CO1450" s="4"/>
      <c r="CP1450" s="4"/>
      <c r="CQ1450" s="4"/>
      <c r="CR1450" s="4"/>
      <c r="CS1450" s="4"/>
      <c r="CT1450" s="4"/>
      <c r="CU1450" s="4"/>
      <c r="CV1450" s="4"/>
      <c r="CW1450" s="4"/>
      <c r="CX1450" s="3"/>
      <c r="CY1450" s="3"/>
      <c r="CZ1450" s="4"/>
      <c r="DA1450" s="4"/>
      <c r="DB1450" s="4"/>
      <c r="DC1450" s="4"/>
      <c r="DD1450" s="4"/>
      <c r="DE1450" s="4"/>
      <c r="DF1450" s="4"/>
      <c r="DG1450" s="4"/>
      <c r="DH1450" s="4"/>
      <c r="DI1450" s="4"/>
      <c r="DJ1450" s="4"/>
      <c r="DK1450" s="4"/>
      <c r="DL1450" s="4"/>
      <c r="DM1450" s="4"/>
      <c r="DN1450" s="4"/>
      <c r="DO1450" s="4"/>
      <c r="DP1450" s="4"/>
      <c r="DQ1450" s="4"/>
      <c r="DR1450" s="4"/>
      <c r="DS1450" s="4"/>
      <c r="DT1450" s="4"/>
      <c r="DU1450" s="4"/>
      <c r="DV1450" s="4"/>
      <c r="DW1450" s="4"/>
      <c r="DX1450" s="4"/>
      <c r="DY1450" s="4"/>
      <c r="DZ1450" s="4"/>
      <c r="EA1450" s="4"/>
      <c r="EB1450" s="4"/>
      <c r="EC1450" s="4"/>
      <c r="ED1450" s="4"/>
      <c r="EE1450" s="4"/>
      <c r="EF1450" s="4"/>
      <c r="EG1450" s="4"/>
      <c r="EH1450" s="4"/>
      <c r="EI1450" s="4"/>
      <c r="EJ1450" s="4"/>
      <c r="EK1450" s="4"/>
    </row>
    <row r="1451" spans="1:149" hidden="1">
      <c r="A1451" s="11" t="s">
        <v>9940</v>
      </c>
      <c r="B1451" s="3" t="s">
        <v>8373</v>
      </c>
      <c r="C1451" s="3">
        <v>1993</v>
      </c>
      <c r="D1451" s="3" t="s">
        <v>9631</v>
      </c>
      <c r="E1451" s="3" t="s">
        <v>9632</v>
      </c>
      <c r="F1451" s="3">
        <v>0</v>
      </c>
      <c r="G1451" s="3" t="s">
        <v>9237</v>
      </c>
      <c r="H1451" s="3" t="s">
        <v>9635</v>
      </c>
      <c r="I1451" s="3"/>
      <c r="J1451" s="3"/>
      <c r="K1451" s="3" t="s">
        <v>802</v>
      </c>
      <c r="L1451" s="4"/>
      <c r="M1451" s="3" t="s">
        <v>8791</v>
      </c>
      <c r="T1451" s="3" t="s">
        <v>9633</v>
      </c>
      <c r="V1451" s="4"/>
      <c r="W1451" s="4"/>
      <c r="X1451" s="5" t="s">
        <v>9634</v>
      </c>
      <c r="Y1451" s="5"/>
      <c r="Z1451" s="4"/>
      <c r="AA1451" s="4"/>
      <c r="AB1451" s="4"/>
      <c r="AE1451" s="4"/>
      <c r="AF1451" s="4"/>
      <c r="AG1451" s="3"/>
      <c r="AH1451" s="3"/>
      <c r="AI1451" s="3"/>
      <c r="AJ1451" s="3"/>
      <c r="AK1451" s="4"/>
      <c r="AL1451" s="3"/>
      <c r="AM1451" s="4"/>
      <c r="AN1451" s="3"/>
      <c r="AO1451" s="3"/>
      <c r="AP1451" s="4"/>
      <c r="AQ1451" s="3"/>
      <c r="AR1451" s="4"/>
      <c r="AS1451" s="4"/>
      <c r="AT1451" s="4"/>
      <c r="AU1451" s="4"/>
      <c r="AV1451" s="4"/>
      <c r="AW1451" s="4"/>
      <c r="AX1451" s="4"/>
      <c r="AY1451" s="4"/>
      <c r="AZ1451" s="4"/>
      <c r="BA1451" s="4"/>
      <c r="BB1451" s="3"/>
      <c r="BC1451" s="3"/>
      <c r="BD1451" s="3"/>
      <c r="BE1451" s="4"/>
      <c r="BF1451" s="3"/>
      <c r="BG1451" s="4"/>
      <c r="BH1451" s="4"/>
      <c r="BI1451" s="3"/>
      <c r="BJ1451" s="4"/>
      <c r="BK1451" s="4"/>
      <c r="BL1451" s="4"/>
      <c r="BM1451" s="4"/>
      <c r="BN1451" s="4"/>
      <c r="BO1451" s="4"/>
      <c r="BP1451" s="4"/>
      <c r="BQ1451" s="4"/>
      <c r="BR1451" s="4"/>
      <c r="BS1451" s="4"/>
      <c r="BT1451" s="4"/>
      <c r="BU1451" s="4"/>
      <c r="BV1451" s="4"/>
      <c r="BW1451" s="4"/>
      <c r="BX1451" s="4"/>
      <c r="BY1451" s="4"/>
      <c r="BZ1451" s="4"/>
      <c r="CA1451" s="4"/>
      <c r="CB1451" s="4"/>
      <c r="CC1451" s="4"/>
      <c r="CD1451" s="4"/>
      <c r="CE1451" s="4"/>
      <c r="CF1451" s="4"/>
      <c r="CG1451" s="4"/>
      <c r="CH1451" s="4"/>
      <c r="CI1451" s="4"/>
      <c r="CJ1451" s="4"/>
      <c r="CK1451" s="4"/>
      <c r="CL1451" s="4"/>
      <c r="CM1451" s="4"/>
      <c r="CN1451" s="4"/>
      <c r="CO1451" s="4"/>
      <c r="CP1451" s="4"/>
      <c r="CQ1451" s="4"/>
      <c r="CR1451" s="3"/>
      <c r="CS1451" s="3"/>
      <c r="CT1451" s="4"/>
      <c r="CU1451" s="4"/>
      <c r="CV1451" s="4"/>
      <c r="CW1451" s="4"/>
      <c r="CX1451" s="4"/>
      <c r="CY1451" s="4"/>
      <c r="CZ1451" s="4"/>
      <c r="DA1451" s="4"/>
      <c r="DB1451" s="4"/>
      <c r="DC1451" s="4"/>
      <c r="DD1451" s="4"/>
      <c r="DE1451" s="4"/>
      <c r="DF1451" s="4"/>
      <c r="DG1451" s="4"/>
      <c r="DH1451" s="4"/>
      <c r="DI1451" s="4"/>
      <c r="DJ1451" s="4"/>
      <c r="DK1451" s="4"/>
      <c r="DL1451" s="4"/>
      <c r="DM1451" s="4"/>
      <c r="DN1451" s="4"/>
      <c r="DO1451" s="4"/>
      <c r="DP1451" s="4"/>
      <c r="DQ1451" s="4"/>
      <c r="DR1451" s="4"/>
      <c r="DS1451" s="4"/>
      <c r="DT1451" s="4"/>
      <c r="DU1451" s="4"/>
      <c r="DV1451" s="4"/>
      <c r="DW1451" s="4"/>
      <c r="DX1451" s="4"/>
      <c r="DY1451" s="4"/>
      <c r="DZ1451" s="4"/>
      <c r="EA1451" s="4"/>
      <c r="EB1451" s="4"/>
      <c r="EC1451" s="4"/>
      <c r="ED1451" s="4"/>
      <c r="EE1451" s="4"/>
    </row>
    <row r="1452" spans="1:149" hidden="1">
      <c r="A1452" s="11" t="s">
        <v>9940</v>
      </c>
      <c r="B1452" s="3" t="s">
        <v>8386</v>
      </c>
      <c r="C1452" s="3">
        <v>2015</v>
      </c>
      <c r="D1452" s="3" t="s">
        <v>9636</v>
      </c>
      <c r="E1452" s="3" t="s">
        <v>9637</v>
      </c>
      <c r="F1452" s="3">
        <v>0</v>
      </c>
      <c r="G1452" s="3" t="s">
        <v>9178</v>
      </c>
      <c r="H1452" s="3" t="s">
        <v>9641</v>
      </c>
      <c r="I1452" s="3"/>
      <c r="J1452" s="3"/>
      <c r="K1452" s="3" t="s">
        <v>9638</v>
      </c>
      <c r="L1452" s="3" t="s">
        <v>9639</v>
      </c>
      <c r="M1452" s="4"/>
      <c r="T1452" s="4"/>
      <c r="V1452" s="4"/>
      <c r="W1452" s="4"/>
      <c r="X1452" s="5" t="s">
        <v>9640</v>
      </c>
      <c r="Y1452" s="5"/>
      <c r="Z1452" s="4"/>
      <c r="AA1452" s="4"/>
      <c r="AB1452" s="4"/>
      <c r="AE1452" s="4"/>
      <c r="AF1452" s="4"/>
      <c r="AG1452" s="3"/>
      <c r="AH1452" s="3"/>
      <c r="AI1452" s="3"/>
      <c r="AJ1452" s="3"/>
      <c r="AK1452" s="4"/>
      <c r="AL1452" s="3"/>
      <c r="AM1452" s="4"/>
      <c r="AN1452" s="4"/>
      <c r="AO1452" s="4"/>
      <c r="AP1452" s="4"/>
      <c r="AQ1452" s="4"/>
      <c r="AR1452" s="4"/>
      <c r="AS1452" s="4"/>
      <c r="AT1452" s="4"/>
      <c r="AU1452" s="4"/>
      <c r="AV1452" s="4"/>
      <c r="AW1452" s="3"/>
      <c r="AX1452" s="3"/>
      <c r="AY1452" s="4"/>
      <c r="AZ1452" s="4"/>
      <c r="BA1452" s="3"/>
      <c r="BB1452" s="3"/>
      <c r="BC1452" s="3"/>
      <c r="BD1452" s="4"/>
      <c r="BE1452" s="3"/>
      <c r="BF1452" s="4"/>
      <c r="BG1452" s="3"/>
      <c r="BH1452" s="3"/>
      <c r="BI1452" s="4"/>
      <c r="BJ1452" s="4"/>
      <c r="BK1452" s="4"/>
      <c r="BL1452" s="4"/>
      <c r="BM1452" s="4"/>
      <c r="BN1452" s="4"/>
      <c r="BO1452" s="4"/>
      <c r="BP1452" s="4"/>
      <c r="BQ1452" s="4"/>
      <c r="BR1452" s="4"/>
      <c r="BS1452" s="4"/>
      <c r="BT1452" s="4"/>
      <c r="BU1452" s="4"/>
      <c r="BV1452" s="4"/>
      <c r="BW1452" s="4"/>
      <c r="BX1452" s="4"/>
      <c r="BY1452" s="4"/>
      <c r="BZ1452" s="4"/>
      <c r="CA1452" s="4"/>
      <c r="CB1452" s="4"/>
      <c r="CC1452" s="4"/>
      <c r="CD1452" s="4"/>
      <c r="CE1452" s="4"/>
      <c r="CF1452" s="4"/>
      <c r="CG1452" s="4"/>
      <c r="CH1452" s="4"/>
      <c r="CI1452" s="4"/>
      <c r="CJ1452" s="4"/>
      <c r="CK1452" s="4"/>
      <c r="CL1452" s="4"/>
      <c r="CM1452" s="4"/>
      <c r="CN1452" s="4"/>
      <c r="CO1452" s="4"/>
      <c r="CP1452" s="4"/>
      <c r="CQ1452" s="4"/>
      <c r="CR1452" s="4"/>
      <c r="CS1452" s="4"/>
      <c r="CT1452" s="4"/>
      <c r="CU1452" s="4"/>
      <c r="CV1452" s="4"/>
      <c r="CW1452" s="4"/>
      <c r="CX1452" s="4"/>
      <c r="CY1452" s="3"/>
      <c r="CZ1452" s="3"/>
      <c r="DA1452" s="4"/>
      <c r="DB1452" s="4"/>
      <c r="DC1452" s="4"/>
      <c r="DD1452" s="4"/>
      <c r="DE1452" s="4"/>
      <c r="DF1452" s="4"/>
      <c r="DG1452" s="4"/>
      <c r="DH1452" s="4"/>
      <c r="DI1452" s="4"/>
      <c r="DJ1452" s="4"/>
      <c r="DK1452" s="4"/>
      <c r="DL1452" s="4"/>
      <c r="DM1452" s="4"/>
      <c r="DN1452" s="4"/>
      <c r="DO1452" s="4"/>
      <c r="DP1452" s="4"/>
      <c r="DQ1452" s="4"/>
      <c r="DR1452" s="4"/>
      <c r="DS1452" s="4"/>
      <c r="DT1452" s="4"/>
      <c r="DU1452" s="4"/>
      <c r="DV1452" s="4"/>
      <c r="DW1452" s="4"/>
      <c r="DX1452" s="4"/>
      <c r="DY1452" s="4"/>
      <c r="DZ1452" s="4"/>
      <c r="EA1452" s="4"/>
      <c r="EB1452" s="4"/>
      <c r="EC1452" s="4"/>
      <c r="ED1452" s="4"/>
      <c r="EE1452" s="4"/>
      <c r="EF1452" s="4"/>
      <c r="EG1452" s="4"/>
      <c r="EH1452" s="4"/>
      <c r="EI1452" s="4"/>
      <c r="EJ1452" s="4"/>
      <c r="EK1452" s="4"/>
      <c r="EL1452" s="4"/>
    </row>
    <row r="1453" spans="1:149" hidden="1">
      <c r="A1453" s="11" t="s">
        <v>9940</v>
      </c>
      <c r="B1453" s="3" t="s">
        <v>8373</v>
      </c>
      <c r="C1453" s="3">
        <v>2011</v>
      </c>
      <c r="D1453" s="3" t="s">
        <v>9642</v>
      </c>
      <c r="E1453" s="3" t="s">
        <v>9643</v>
      </c>
      <c r="F1453" s="3">
        <v>0</v>
      </c>
      <c r="G1453" s="3" t="s">
        <v>9178</v>
      </c>
      <c r="H1453" s="3" t="s">
        <v>9646</v>
      </c>
      <c r="I1453" s="3"/>
      <c r="J1453" s="3"/>
      <c r="K1453" s="3" t="s">
        <v>1073</v>
      </c>
      <c r="L1453" s="4"/>
      <c r="M1453" s="3" t="s">
        <v>8445</v>
      </c>
      <c r="T1453" s="3" t="s">
        <v>9644</v>
      </c>
      <c r="V1453" s="4"/>
      <c r="W1453" s="4"/>
      <c r="X1453" s="5" t="s">
        <v>9645</v>
      </c>
      <c r="Y1453" s="5"/>
      <c r="Z1453" s="4"/>
      <c r="AA1453" s="4"/>
      <c r="AB1453" s="4"/>
      <c r="AE1453" s="4"/>
      <c r="AF1453" s="4"/>
      <c r="AG1453" s="3"/>
      <c r="AH1453" s="3"/>
      <c r="AI1453" s="3"/>
      <c r="AJ1453" s="3"/>
      <c r="AK1453" s="4"/>
      <c r="AL1453" s="3"/>
      <c r="AM1453" s="4"/>
      <c r="AN1453" s="10"/>
      <c r="AO1453" s="3"/>
      <c r="AP1453" s="4"/>
      <c r="AQ1453" s="3"/>
      <c r="AR1453" s="4"/>
      <c r="AS1453" s="4"/>
      <c r="AT1453" s="4"/>
      <c r="AU1453" s="4"/>
      <c r="AV1453" s="4"/>
      <c r="AW1453" s="4"/>
      <c r="AX1453" s="4"/>
      <c r="AY1453" s="4"/>
      <c r="AZ1453" s="4"/>
      <c r="BA1453" s="4"/>
      <c r="BB1453" s="3"/>
      <c r="BC1453" s="3"/>
      <c r="BD1453" s="3"/>
      <c r="BE1453" s="4"/>
      <c r="BF1453" s="3"/>
      <c r="BG1453" s="4"/>
      <c r="BH1453" s="4"/>
      <c r="BI1453" s="3"/>
      <c r="BJ1453" s="4"/>
      <c r="BK1453" s="4"/>
      <c r="BL1453" s="4"/>
      <c r="BM1453" s="4"/>
      <c r="BN1453" s="4"/>
      <c r="BO1453" s="4"/>
      <c r="BP1453" s="4"/>
      <c r="BQ1453" s="4"/>
      <c r="BR1453" s="4"/>
      <c r="BS1453" s="4"/>
      <c r="BT1453" s="4"/>
      <c r="BU1453" s="4"/>
      <c r="BV1453" s="4"/>
      <c r="BW1453" s="4"/>
      <c r="BX1453" s="4"/>
      <c r="BY1453" s="4"/>
      <c r="BZ1453" s="4"/>
      <c r="CA1453" s="4"/>
      <c r="CB1453" s="4"/>
      <c r="CC1453" s="4"/>
      <c r="CD1453" s="3"/>
      <c r="CE1453" s="3"/>
      <c r="CF1453" s="4"/>
      <c r="CG1453" s="4"/>
      <c r="CH1453" s="4"/>
      <c r="CI1453" s="4"/>
      <c r="CJ1453" s="4"/>
      <c r="CK1453" s="4"/>
      <c r="CL1453" s="4"/>
      <c r="CM1453" s="4"/>
      <c r="CN1453" s="4"/>
      <c r="CO1453" s="4"/>
      <c r="CP1453" s="4"/>
      <c r="CQ1453" s="4"/>
      <c r="CR1453" s="4"/>
      <c r="CS1453" s="4"/>
      <c r="CT1453" s="4"/>
      <c r="CU1453" s="4"/>
      <c r="CV1453" s="4"/>
      <c r="CW1453" s="4"/>
      <c r="CX1453" s="4"/>
      <c r="CY1453" s="4"/>
      <c r="CZ1453" s="4"/>
      <c r="DA1453" s="4"/>
      <c r="DB1453" s="4"/>
      <c r="DC1453" s="4"/>
      <c r="DD1453" s="4"/>
      <c r="DE1453" s="4"/>
      <c r="DF1453" s="4"/>
      <c r="DG1453" s="4"/>
      <c r="DH1453" s="4"/>
      <c r="DI1453" s="4"/>
      <c r="DJ1453" s="4"/>
      <c r="DK1453" s="4"/>
      <c r="DL1453" s="4"/>
      <c r="DM1453" s="4"/>
      <c r="DN1453" s="4"/>
      <c r="DO1453" s="4"/>
      <c r="DP1453" s="4"/>
      <c r="DQ1453" s="4"/>
    </row>
    <row r="1454" spans="1:149" hidden="1">
      <c r="A1454" s="11" t="s">
        <v>9940</v>
      </c>
      <c r="B1454" s="3" t="s">
        <v>8373</v>
      </c>
      <c r="C1454" s="3">
        <v>2000</v>
      </c>
      <c r="D1454" s="3" t="s">
        <v>8945</v>
      </c>
      <c r="E1454" s="3" t="s">
        <v>8946</v>
      </c>
      <c r="F1454" s="3">
        <v>1</v>
      </c>
      <c r="G1454" s="3"/>
      <c r="H1454" s="3" t="s">
        <v>8951</v>
      </c>
      <c r="I1454" s="3"/>
      <c r="J1454" s="3"/>
      <c r="K1454" s="3" t="s">
        <v>8947</v>
      </c>
      <c r="L1454" s="4"/>
      <c r="M1454" s="3" t="s">
        <v>8948</v>
      </c>
      <c r="T1454" s="3" t="s">
        <v>8949</v>
      </c>
      <c r="V1454" s="3"/>
      <c r="W1454" s="3"/>
      <c r="X1454" s="5" t="s">
        <v>8950</v>
      </c>
      <c r="Y1454" s="5"/>
      <c r="Z1454" s="3">
        <v>1</v>
      </c>
      <c r="AA1454" s="4"/>
      <c r="AB1454" s="3"/>
      <c r="AE1454" s="3"/>
      <c r="AF1454" s="3"/>
      <c r="AG1454" s="4"/>
      <c r="AH1454" s="4"/>
      <c r="AI1454" s="4"/>
      <c r="AJ1454" s="4"/>
      <c r="AK1454" s="3"/>
      <c r="AL1454" s="3"/>
      <c r="AM1454" s="3"/>
      <c r="AN1454" s="3"/>
      <c r="AO1454" s="4"/>
      <c r="AP1454" s="3"/>
      <c r="AQ1454" s="4"/>
      <c r="AR1454" s="3"/>
      <c r="AS1454" s="3"/>
      <c r="AT1454" s="4"/>
      <c r="AU1454" s="3"/>
      <c r="AV1454" s="4"/>
      <c r="AW1454" s="4"/>
      <c r="AX1454" s="4"/>
      <c r="AY1454" s="4"/>
      <c r="AZ1454" s="4"/>
      <c r="BA1454" s="4"/>
      <c r="BB1454" s="4"/>
      <c r="BC1454" s="4"/>
      <c r="BD1454" s="4"/>
      <c r="BE1454" s="4"/>
      <c r="BF1454" s="3"/>
      <c r="BG1454" s="3"/>
      <c r="BH1454" s="3"/>
      <c r="BI1454" s="4"/>
      <c r="BJ1454" s="3"/>
      <c r="BK1454" s="4"/>
      <c r="BL1454" s="4"/>
      <c r="BM1454" s="3"/>
      <c r="BN1454" s="4"/>
      <c r="BO1454" s="4"/>
      <c r="BP1454" s="4"/>
      <c r="BQ1454" s="4"/>
      <c r="BR1454" s="4"/>
      <c r="BS1454" s="4"/>
      <c r="BT1454" s="4"/>
      <c r="BU1454" s="4"/>
      <c r="BV1454" s="4"/>
      <c r="BW1454" s="4"/>
      <c r="BX1454" s="4"/>
      <c r="BY1454" s="4"/>
      <c r="BZ1454" s="4"/>
      <c r="CA1454" s="4"/>
      <c r="CB1454" s="4"/>
      <c r="CC1454" s="4"/>
      <c r="CD1454" s="4"/>
      <c r="CE1454" s="4"/>
      <c r="CF1454" s="4"/>
      <c r="CG1454" s="4"/>
      <c r="CH1454" s="4"/>
      <c r="CI1454" s="4"/>
      <c r="CJ1454" s="4"/>
      <c r="CK1454" s="4"/>
      <c r="CL1454" s="4"/>
      <c r="CM1454" s="4"/>
      <c r="CN1454" s="4"/>
      <c r="CO1454" s="4"/>
      <c r="CP1454" s="4"/>
      <c r="CQ1454" s="4"/>
      <c r="CR1454" s="4"/>
      <c r="CS1454" s="4"/>
      <c r="CT1454" s="4"/>
      <c r="CU1454" s="4"/>
      <c r="CV1454" s="3"/>
      <c r="CW1454" s="3"/>
      <c r="CX1454" s="8"/>
      <c r="CY1454" s="4"/>
      <c r="CZ1454" s="4"/>
      <c r="DA1454" s="4"/>
      <c r="DB1454" s="4"/>
      <c r="DC1454" s="8"/>
      <c r="DD1454" s="8"/>
      <c r="DE1454" s="8"/>
      <c r="DF1454" s="8"/>
      <c r="DG1454" s="4"/>
      <c r="DH1454" s="4"/>
      <c r="DI1454" s="4"/>
      <c r="DJ1454" s="4"/>
      <c r="DK1454" s="4"/>
      <c r="DL1454" s="4"/>
      <c r="DM1454" s="4"/>
      <c r="DN1454" s="4"/>
      <c r="DO1454" s="4"/>
      <c r="DP1454" s="4"/>
      <c r="DQ1454" s="4"/>
      <c r="DR1454" s="4"/>
      <c r="DS1454" s="4"/>
      <c r="DT1454" s="4"/>
      <c r="DU1454" s="4"/>
      <c r="DV1454" s="4"/>
      <c r="DW1454" s="4"/>
      <c r="DX1454" s="4"/>
      <c r="DY1454" s="4"/>
      <c r="DZ1454" s="4"/>
      <c r="EA1454" s="8"/>
      <c r="EB1454" s="8"/>
      <c r="EC1454" s="8"/>
      <c r="ED1454" s="8"/>
      <c r="EE1454" s="8"/>
      <c r="EF1454" s="8"/>
      <c r="EG1454" s="4"/>
      <c r="EH1454" s="4"/>
      <c r="EI1454" s="4"/>
    </row>
    <row r="1455" spans="1:149" hidden="1">
      <c r="A1455" s="11" t="s">
        <v>9940</v>
      </c>
      <c r="B1455" s="3" t="s">
        <v>8373</v>
      </c>
      <c r="C1455" s="3">
        <v>2013</v>
      </c>
      <c r="D1455" s="3" t="s">
        <v>2591</v>
      </c>
      <c r="E1455" s="3" t="s">
        <v>8952</v>
      </c>
      <c r="F1455" s="3">
        <v>1</v>
      </c>
      <c r="G1455" s="3"/>
      <c r="H1455" s="3" t="s">
        <v>8955</v>
      </c>
      <c r="I1455" s="3"/>
      <c r="J1455" s="3"/>
      <c r="K1455" s="3" t="s">
        <v>2592</v>
      </c>
      <c r="L1455" s="4"/>
      <c r="M1455" s="3" t="s">
        <v>8953</v>
      </c>
      <c r="T1455" s="3" t="s">
        <v>8954</v>
      </c>
      <c r="V1455" s="3"/>
      <c r="W1455" s="3"/>
      <c r="X1455" s="5" t="s">
        <v>2596</v>
      </c>
      <c r="Y1455" s="5"/>
      <c r="Z1455" s="3">
        <v>1</v>
      </c>
      <c r="AA1455" s="4"/>
      <c r="AB1455" s="4"/>
      <c r="AE1455" s="3"/>
      <c r="AF1455" s="3"/>
      <c r="AG1455" s="4"/>
      <c r="AH1455" s="4"/>
      <c r="AI1455" s="4"/>
      <c r="AJ1455" s="4"/>
      <c r="AK1455" s="3"/>
      <c r="AL1455" s="3"/>
      <c r="AM1455" s="3"/>
      <c r="AN1455" s="3"/>
      <c r="AO1455" s="4"/>
      <c r="AP1455" s="3"/>
      <c r="AQ1455" s="4"/>
      <c r="AR1455" s="3"/>
      <c r="AS1455" s="3"/>
      <c r="AT1455" s="4"/>
      <c r="AU1455" s="3"/>
      <c r="AV1455" s="4"/>
      <c r="AW1455" s="4"/>
      <c r="AX1455" s="4"/>
      <c r="AY1455" s="4"/>
      <c r="AZ1455" s="4"/>
      <c r="BA1455" s="4"/>
      <c r="BB1455" s="4"/>
      <c r="BC1455" s="4"/>
      <c r="BD1455" s="4"/>
      <c r="BE1455" s="4"/>
      <c r="BF1455" s="3"/>
      <c r="BG1455" s="3"/>
      <c r="BH1455" s="3"/>
      <c r="BI1455" s="4"/>
      <c r="BJ1455" s="3"/>
      <c r="BK1455" s="4"/>
      <c r="BL1455" s="4"/>
      <c r="BM1455" s="3"/>
      <c r="BN1455" s="4"/>
      <c r="BO1455" s="4"/>
      <c r="BP1455" s="4"/>
      <c r="BQ1455" s="4"/>
      <c r="BR1455" s="4"/>
      <c r="BS1455" s="4"/>
      <c r="BT1455" s="4"/>
      <c r="BU1455" s="4"/>
      <c r="BV1455" s="4"/>
      <c r="BW1455" s="4"/>
      <c r="BX1455" s="4"/>
      <c r="BY1455" s="4"/>
      <c r="BZ1455" s="4"/>
      <c r="CA1455" s="4"/>
      <c r="CB1455" s="4"/>
      <c r="CC1455" s="4"/>
      <c r="CD1455" s="4"/>
      <c r="CE1455" s="4"/>
      <c r="CF1455" s="4"/>
      <c r="CG1455" s="4"/>
      <c r="CH1455" s="3"/>
      <c r="CI1455" s="3"/>
      <c r="CJ1455" s="8"/>
      <c r="CK1455" s="4"/>
      <c r="CL1455" s="4"/>
      <c r="CM1455" s="4"/>
      <c r="CN1455" s="4"/>
      <c r="CO1455" s="8"/>
      <c r="CP1455" s="8"/>
      <c r="CQ1455" s="8"/>
      <c r="CR1455" s="8"/>
      <c r="CS1455" s="4"/>
      <c r="CT1455" s="4"/>
      <c r="CU1455" s="4"/>
      <c r="CV1455" s="4"/>
      <c r="CW1455" s="4"/>
      <c r="CX1455" s="4"/>
      <c r="CY1455" s="4"/>
      <c r="CZ1455" s="4"/>
      <c r="DA1455" s="4"/>
      <c r="DB1455" s="4"/>
      <c r="DC1455" s="4"/>
      <c r="DD1455" s="4"/>
      <c r="DE1455" s="4"/>
      <c r="DF1455" s="4"/>
      <c r="DG1455" s="4"/>
      <c r="DH1455" s="4"/>
      <c r="DI1455" s="4"/>
      <c r="DJ1455" s="4"/>
      <c r="DK1455" s="4"/>
      <c r="DL1455" s="4"/>
      <c r="DM1455" s="8"/>
      <c r="DN1455" s="8"/>
      <c r="DO1455" s="8"/>
      <c r="DP1455" s="8"/>
      <c r="DQ1455" s="8"/>
      <c r="DR1455" s="8"/>
      <c r="DS1455" s="4"/>
      <c r="DT1455" s="4"/>
      <c r="DU1455" s="4"/>
    </row>
    <row r="1456" spans="1:149" hidden="1">
      <c r="A1456" s="11" t="s">
        <v>9940</v>
      </c>
      <c r="B1456" s="3" t="s">
        <v>8373</v>
      </c>
      <c r="C1456" s="3">
        <v>2015</v>
      </c>
      <c r="D1456" s="3" t="s">
        <v>4620</v>
      </c>
      <c r="E1456" s="3" t="s">
        <v>9647</v>
      </c>
      <c r="F1456" s="3">
        <v>0</v>
      </c>
      <c r="G1456" s="3" t="s">
        <v>9237</v>
      </c>
      <c r="H1456" s="3" t="s">
        <v>4624</v>
      </c>
      <c r="I1456" s="3"/>
      <c r="J1456" s="3"/>
      <c r="K1456" s="3" t="s">
        <v>3421</v>
      </c>
      <c r="L1456" s="4"/>
      <c r="M1456" s="3" t="s">
        <v>9648</v>
      </c>
      <c r="T1456" s="3" t="s">
        <v>4622</v>
      </c>
      <c r="V1456" s="4"/>
      <c r="W1456" s="4"/>
      <c r="X1456" s="5" t="s">
        <v>4625</v>
      </c>
      <c r="Y1456" s="5"/>
      <c r="Z1456" s="4"/>
      <c r="AA1456" s="4"/>
      <c r="AB1456" s="4"/>
      <c r="AE1456" s="4"/>
      <c r="AF1456" s="4"/>
      <c r="AG1456" s="3"/>
      <c r="AH1456" s="3"/>
      <c r="AI1456" s="3"/>
      <c r="AJ1456" s="3"/>
      <c r="AK1456" s="4"/>
      <c r="AL1456" s="3"/>
      <c r="AM1456" s="4"/>
      <c r="AN1456" s="3"/>
      <c r="AO1456" s="3"/>
      <c r="AP1456" s="4"/>
      <c r="AQ1456" s="3"/>
      <c r="AR1456" s="4"/>
      <c r="AS1456" s="4"/>
      <c r="AT1456" s="4"/>
      <c r="AU1456" s="4"/>
      <c r="AV1456" s="4"/>
      <c r="AW1456" s="4"/>
      <c r="AX1456" s="4"/>
      <c r="AY1456" s="4"/>
      <c r="AZ1456" s="4"/>
      <c r="BA1456" s="4"/>
      <c r="BB1456" s="3"/>
      <c r="BC1456" s="3"/>
      <c r="BD1456" s="3"/>
      <c r="BE1456" s="4"/>
      <c r="BF1456" s="3"/>
      <c r="BG1456" s="4"/>
      <c r="BH1456" s="4"/>
      <c r="BI1456" s="3"/>
      <c r="BJ1456" s="4"/>
      <c r="BK1456" s="4"/>
      <c r="BL1456" s="4"/>
      <c r="BM1456" s="4"/>
      <c r="BN1456" s="4"/>
      <c r="BO1456" s="4"/>
      <c r="BP1456" s="4"/>
      <c r="BQ1456" s="4"/>
      <c r="BR1456" s="4"/>
      <c r="BS1456" s="4"/>
      <c r="BT1456" s="4"/>
      <c r="BU1456" s="4"/>
      <c r="BV1456" s="4"/>
      <c r="BW1456" s="4"/>
      <c r="BX1456" s="4"/>
      <c r="BY1456" s="4"/>
      <c r="BZ1456" s="4"/>
      <c r="CA1456" s="4"/>
      <c r="CB1456" s="4"/>
      <c r="CC1456" s="4"/>
      <c r="CD1456" s="3"/>
      <c r="CE1456" s="3"/>
      <c r="CF1456" s="4"/>
      <c r="CG1456" s="4"/>
      <c r="CH1456" s="4"/>
      <c r="CI1456" s="4"/>
      <c r="CJ1456" s="4"/>
      <c r="CK1456" s="4"/>
      <c r="CL1456" s="4"/>
      <c r="CM1456" s="4"/>
      <c r="CN1456" s="4"/>
      <c r="CO1456" s="4"/>
      <c r="CP1456" s="4"/>
      <c r="CQ1456" s="4"/>
      <c r="CR1456" s="4"/>
      <c r="CS1456" s="4"/>
      <c r="CT1456" s="4"/>
      <c r="CU1456" s="4"/>
      <c r="CV1456" s="4"/>
      <c r="CW1456" s="4"/>
      <c r="CX1456" s="4"/>
      <c r="CY1456" s="4"/>
      <c r="CZ1456" s="4"/>
      <c r="DA1456" s="4"/>
      <c r="DB1456" s="4"/>
      <c r="DC1456" s="4"/>
      <c r="DD1456" s="4"/>
      <c r="DE1456" s="4"/>
      <c r="DF1456" s="4"/>
      <c r="DG1456" s="4"/>
      <c r="DH1456" s="4"/>
      <c r="DI1456" s="4"/>
      <c r="DJ1456" s="4"/>
      <c r="DK1456" s="4"/>
      <c r="DL1456" s="4"/>
      <c r="DM1456" s="4"/>
      <c r="DN1456" s="4"/>
      <c r="DO1456" s="4"/>
      <c r="DP1456" s="4"/>
      <c r="DQ1456" s="4"/>
    </row>
    <row r="1457" spans="1:149" hidden="1">
      <c r="A1457" s="11" t="s">
        <v>9940</v>
      </c>
      <c r="B1457" s="3" t="s">
        <v>8379</v>
      </c>
      <c r="C1457" s="3">
        <v>2001</v>
      </c>
      <c r="D1457" s="3" t="s">
        <v>8956</v>
      </c>
      <c r="E1457" s="3" t="s">
        <v>8957</v>
      </c>
      <c r="F1457" s="3">
        <v>1</v>
      </c>
      <c r="G1457" s="4"/>
      <c r="H1457" s="3" t="s">
        <v>8959</v>
      </c>
      <c r="I1457" s="3"/>
      <c r="J1457" s="3"/>
      <c r="K1457" s="4"/>
      <c r="L1457" s="4"/>
      <c r="M1457" s="4"/>
      <c r="T1457" s="4"/>
      <c r="V1457" s="3"/>
      <c r="W1457" s="4"/>
      <c r="X1457" s="5" t="s">
        <v>8958</v>
      </c>
      <c r="Y1457" s="5"/>
      <c r="Z1457" s="3">
        <v>1</v>
      </c>
      <c r="AA1457" s="4"/>
      <c r="AB1457" s="4"/>
      <c r="AE1457" s="3"/>
      <c r="AF1457" s="3"/>
      <c r="AG1457" s="3"/>
      <c r="AH1457" s="4"/>
      <c r="AI1457" s="4"/>
      <c r="AJ1457" s="4"/>
      <c r="AK1457" s="3"/>
      <c r="AL1457" s="3"/>
      <c r="AM1457" s="3"/>
      <c r="AN1457" s="3"/>
      <c r="AO1457" s="4"/>
      <c r="AP1457" s="4"/>
      <c r="AQ1457" s="3"/>
      <c r="AR1457" s="4"/>
      <c r="AS1457" s="4"/>
      <c r="AT1457" s="4"/>
      <c r="AU1457" s="4"/>
      <c r="AV1457" s="4"/>
      <c r="AW1457" s="4"/>
      <c r="AX1457" s="4"/>
      <c r="AY1457" s="4"/>
      <c r="AZ1457" s="4"/>
      <c r="BA1457" s="3"/>
      <c r="BB1457" s="4"/>
      <c r="BC1457" s="3"/>
      <c r="BD1457" s="3"/>
      <c r="BE1457" s="3"/>
      <c r="BF1457" s="4"/>
      <c r="BG1457" s="3"/>
      <c r="BH1457" s="3"/>
      <c r="BI1457" s="4"/>
      <c r="BJ1457" s="4"/>
      <c r="BK1457" s="4"/>
      <c r="BL1457" s="4"/>
      <c r="BM1457" s="4"/>
      <c r="BN1457" s="4"/>
      <c r="BO1457" s="4"/>
      <c r="BP1457" s="4"/>
      <c r="BQ1457" s="4"/>
      <c r="BR1457" s="4"/>
      <c r="BS1457" s="4"/>
      <c r="BT1457" s="4"/>
      <c r="BU1457" s="4"/>
      <c r="BV1457" s="4"/>
      <c r="BW1457" s="4"/>
      <c r="BX1457" s="4"/>
      <c r="BY1457" s="4"/>
      <c r="BZ1457" s="4"/>
      <c r="CA1457" s="4"/>
      <c r="CB1457" s="4"/>
      <c r="CC1457" s="4"/>
      <c r="CD1457" s="4"/>
      <c r="CE1457" s="4"/>
      <c r="CF1457" s="4"/>
      <c r="CG1457" s="4"/>
      <c r="CH1457" s="4"/>
      <c r="CI1457" s="4"/>
      <c r="CJ1457" s="4"/>
      <c r="CK1457" s="4"/>
      <c r="CL1457" s="4"/>
      <c r="CM1457" s="4"/>
      <c r="CN1457" s="4"/>
      <c r="CO1457" s="4"/>
      <c r="CP1457" s="4"/>
      <c r="CQ1457" s="4"/>
      <c r="CR1457" s="4"/>
      <c r="CS1457" s="4"/>
      <c r="CT1457" s="4"/>
      <c r="CU1457" s="4"/>
      <c r="CV1457" s="4"/>
      <c r="CW1457" s="3"/>
      <c r="CX1457" s="3"/>
      <c r="CY1457" s="3"/>
      <c r="CZ1457" s="4"/>
      <c r="DA1457" s="4"/>
      <c r="DB1457" s="4"/>
      <c r="DC1457" s="4"/>
      <c r="DD1457" s="8"/>
      <c r="DE1457" s="8"/>
      <c r="DF1457" s="8"/>
      <c r="DG1457" s="8"/>
      <c r="DH1457" s="4"/>
      <c r="DI1457" s="4"/>
      <c r="DJ1457" s="4"/>
      <c r="DK1457" s="4"/>
      <c r="DL1457" s="8"/>
      <c r="DM1457" s="4"/>
      <c r="DN1457" s="4"/>
      <c r="DO1457" s="4"/>
      <c r="DP1457" s="4"/>
      <c r="DQ1457" s="4"/>
      <c r="DR1457" s="4"/>
      <c r="DS1457" s="4"/>
      <c r="DT1457" s="4"/>
      <c r="DU1457" s="4"/>
      <c r="DV1457" s="4"/>
      <c r="DW1457" s="4"/>
      <c r="DX1457" s="4"/>
      <c r="DY1457" s="4"/>
      <c r="DZ1457" s="4"/>
      <c r="EA1457" s="4"/>
      <c r="EB1457" s="8"/>
      <c r="EC1457" s="8"/>
      <c r="ED1457" s="8"/>
      <c r="EE1457" s="8"/>
      <c r="EF1457" s="8"/>
      <c r="EG1457" s="8"/>
      <c r="EH1457" s="4"/>
      <c r="EI1457" s="4"/>
      <c r="EJ1457" s="3"/>
    </row>
    <row r="1458" spans="1:149" hidden="1">
      <c r="A1458" s="11" t="s">
        <v>9940</v>
      </c>
      <c r="B1458" s="3" t="s">
        <v>8379</v>
      </c>
      <c r="C1458" s="3">
        <v>2008</v>
      </c>
      <c r="D1458" s="3" t="s">
        <v>7499</v>
      </c>
      <c r="E1458" s="3" t="s">
        <v>8960</v>
      </c>
      <c r="F1458" s="3">
        <v>1</v>
      </c>
      <c r="G1458" s="4"/>
      <c r="H1458" s="3" t="s">
        <v>7502</v>
      </c>
      <c r="I1458" s="3"/>
      <c r="J1458" s="3"/>
      <c r="K1458" s="4"/>
      <c r="L1458" s="4"/>
      <c r="M1458" s="4"/>
      <c r="T1458" s="4"/>
      <c r="V1458" s="3"/>
      <c r="W1458" s="4"/>
      <c r="X1458" s="5" t="s">
        <v>7503</v>
      </c>
      <c r="Y1458" s="5"/>
      <c r="Z1458" s="3">
        <v>1</v>
      </c>
      <c r="AA1458" s="4"/>
      <c r="AB1458" s="4"/>
      <c r="AE1458" s="3"/>
      <c r="AF1458" s="3"/>
      <c r="AG1458" s="3"/>
      <c r="AH1458" s="4"/>
      <c r="AI1458" s="4"/>
      <c r="AJ1458" s="4"/>
      <c r="AK1458" s="3"/>
      <c r="AL1458" s="3"/>
      <c r="AM1458" s="3"/>
      <c r="AN1458" s="3"/>
      <c r="AO1458" s="4"/>
      <c r="AP1458" s="4"/>
      <c r="AQ1458" s="3"/>
      <c r="AR1458" s="4"/>
      <c r="AS1458" s="4"/>
      <c r="AT1458" s="4"/>
      <c r="AU1458" s="4"/>
      <c r="AV1458" s="4"/>
      <c r="AW1458" s="4"/>
      <c r="AX1458" s="4"/>
      <c r="AY1458" s="4"/>
      <c r="AZ1458" s="4"/>
      <c r="BA1458" s="3"/>
      <c r="BB1458" s="4"/>
      <c r="BC1458" s="3"/>
      <c r="BD1458" s="3"/>
      <c r="BE1458" s="3"/>
      <c r="BF1458" s="4"/>
      <c r="BG1458" s="3"/>
      <c r="BH1458" s="3"/>
      <c r="BI1458" s="4"/>
      <c r="BJ1458" s="4"/>
      <c r="BK1458" s="4"/>
      <c r="BL1458" s="4"/>
      <c r="BM1458" s="4"/>
      <c r="BN1458" s="4"/>
      <c r="BO1458" s="4"/>
      <c r="BP1458" s="4"/>
      <c r="BQ1458" s="4"/>
      <c r="BR1458" s="4"/>
      <c r="BS1458" s="4"/>
      <c r="BT1458" s="4"/>
      <c r="BU1458" s="4"/>
      <c r="BV1458" s="4"/>
      <c r="BW1458" s="4"/>
      <c r="BX1458" s="4"/>
      <c r="BY1458" s="4"/>
      <c r="BZ1458" s="4"/>
      <c r="CA1458" s="4"/>
      <c r="CB1458" s="4"/>
      <c r="CC1458" s="4"/>
      <c r="CD1458" s="4"/>
      <c r="CE1458" s="4"/>
      <c r="CF1458" s="4"/>
      <c r="CG1458" s="4"/>
      <c r="CH1458" s="4"/>
      <c r="CI1458" s="4"/>
      <c r="CJ1458" s="4"/>
      <c r="CK1458" s="4"/>
      <c r="CL1458" s="4"/>
      <c r="CM1458" s="4"/>
      <c r="CN1458" s="4"/>
      <c r="CO1458" s="4"/>
      <c r="CP1458" s="4"/>
      <c r="CQ1458" s="4"/>
      <c r="CR1458" s="4"/>
      <c r="CS1458" s="4"/>
      <c r="CT1458" s="4"/>
      <c r="CU1458" s="4"/>
      <c r="CV1458" s="4"/>
      <c r="CW1458" s="4"/>
      <c r="CX1458" s="4"/>
      <c r="CY1458" s="4"/>
      <c r="CZ1458" s="4"/>
      <c r="DA1458" s="4"/>
      <c r="DB1458" s="4"/>
      <c r="DC1458" s="3"/>
      <c r="DD1458" s="3"/>
      <c r="DE1458" s="3"/>
      <c r="DF1458" s="4"/>
      <c r="DG1458" s="4"/>
      <c r="DH1458" s="4"/>
      <c r="DI1458" s="4"/>
      <c r="DJ1458" s="8"/>
      <c r="DK1458" s="8"/>
      <c r="DL1458" s="8"/>
      <c r="DM1458" s="8"/>
      <c r="DN1458" s="4"/>
      <c r="DO1458" s="4"/>
      <c r="DP1458" s="4"/>
      <c r="DQ1458" s="4"/>
      <c r="DR1458" s="4"/>
      <c r="DS1458" s="4"/>
      <c r="DT1458" s="4"/>
      <c r="DU1458" s="4"/>
      <c r="DV1458" s="4"/>
      <c r="DW1458" s="4"/>
      <c r="DX1458" s="4"/>
      <c r="DY1458" s="4"/>
      <c r="DZ1458" s="4"/>
      <c r="EA1458" s="4"/>
      <c r="EB1458" s="4"/>
      <c r="EC1458" s="4"/>
      <c r="ED1458" s="4"/>
      <c r="EE1458" s="4"/>
      <c r="EF1458" s="4"/>
      <c r="EG1458" s="4"/>
      <c r="EH1458" s="8"/>
      <c r="EI1458" s="8"/>
      <c r="EJ1458" s="8"/>
      <c r="EK1458" s="8"/>
      <c r="EL1458" s="8"/>
      <c r="EM1458" s="8"/>
      <c r="EN1458" s="4"/>
      <c r="EO1458" s="4"/>
      <c r="EP1458" s="3"/>
    </row>
    <row r="1459" spans="1:149" hidden="1">
      <c r="A1459" s="11" t="s">
        <v>9940</v>
      </c>
      <c r="B1459" s="3" t="s">
        <v>8379</v>
      </c>
      <c r="C1459" s="3">
        <v>2005</v>
      </c>
      <c r="D1459" s="3" t="s">
        <v>8961</v>
      </c>
      <c r="E1459" s="3" t="s">
        <v>8962</v>
      </c>
      <c r="F1459" s="3">
        <v>1</v>
      </c>
      <c r="G1459" s="4"/>
      <c r="H1459" s="3" t="s">
        <v>8964</v>
      </c>
      <c r="I1459" s="3"/>
      <c r="J1459" s="3"/>
      <c r="K1459" s="4"/>
      <c r="L1459" s="4"/>
      <c r="M1459" s="4"/>
      <c r="T1459" s="4"/>
      <c r="V1459" s="3"/>
      <c r="W1459" s="4"/>
      <c r="X1459" s="5" t="s">
        <v>8963</v>
      </c>
      <c r="Y1459" s="5"/>
      <c r="Z1459" s="3">
        <v>1</v>
      </c>
      <c r="AA1459" s="4"/>
      <c r="AB1459" s="4"/>
      <c r="AE1459" s="3"/>
      <c r="AF1459" s="3"/>
      <c r="AG1459" s="3"/>
      <c r="AH1459" s="4"/>
      <c r="AI1459" s="4"/>
      <c r="AJ1459" s="4"/>
      <c r="AK1459" s="3"/>
      <c r="AL1459" s="3"/>
      <c r="AM1459" s="3"/>
      <c r="AN1459" s="3"/>
      <c r="AO1459" s="4"/>
      <c r="AP1459" s="4"/>
      <c r="AQ1459" s="3"/>
      <c r="AR1459" s="4"/>
      <c r="AS1459" s="4"/>
      <c r="AT1459" s="4"/>
      <c r="AU1459" s="4"/>
      <c r="AV1459" s="4"/>
      <c r="AW1459" s="4"/>
      <c r="AX1459" s="4"/>
      <c r="AY1459" s="4"/>
      <c r="AZ1459" s="4"/>
      <c r="BA1459" s="3"/>
      <c r="BB1459" s="4"/>
      <c r="BC1459" s="3"/>
      <c r="BD1459" s="3"/>
      <c r="BE1459" s="3"/>
      <c r="BF1459" s="4"/>
      <c r="BG1459" s="3"/>
      <c r="BH1459" s="3"/>
      <c r="BI1459" s="4"/>
      <c r="BJ1459" s="4"/>
      <c r="BK1459" s="4"/>
      <c r="BL1459" s="4"/>
      <c r="BM1459" s="4"/>
      <c r="BN1459" s="4"/>
      <c r="BO1459" s="4"/>
      <c r="BP1459" s="4"/>
      <c r="BQ1459" s="4"/>
      <c r="BR1459" s="4"/>
      <c r="BS1459" s="4"/>
      <c r="BT1459" s="4"/>
      <c r="BU1459" s="4"/>
      <c r="BV1459" s="4"/>
      <c r="BW1459" s="4"/>
      <c r="BX1459" s="4"/>
      <c r="BY1459" s="4"/>
      <c r="BZ1459" s="4"/>
      <c r="CA1459" s="4"/>
      <c r="CB1459" s="4"/>
      <c r="CC1459" s="4"/>
      <c r="CD1459" s="4"/>
      <c r="CE1459" s="4"/>
      <c r="CF1459" s="4"/>
      <c r="CG1459" s="4"/>
      <c r="CH1459" s="4"/>
      <c r="CI1459" s="4"/>
      <c r="CJ1459" s="4"/>
      <c r="CK1459" s="4"/>
      <c r="CL1459" s="4"/>
      <c r="CM1459" s="4"/>
      <c r="CN1459" s="4"/>
      <c r="CO1459" s="4"/>
      <c r="CP1459" s="4"/>
      <c r="CQ1459" s="4"/>
      <c r="CR1459" s="4"/>
      <c r="CS1459" s="4"/>
      <c r="CT1459" s="4"/>
      <c r="CU1459" s="4"/>
      <c r="CV1459" s="4"/>
      <c r="CW1459" s="4"/>
      <c r="CX1459" s="3"/>
      <c r="CY1459" s="3"/>
      <c r="CZ1459" s="3"/>
      <c r="DA1459" s="4"/>
      <c r="DB1459" s="4"/>
      <c r="DC1459" s="4"/>
      <c r="DD1459" s="4"/>
      <c r="DE1459" s="8"/>
      <c r="DF1459" s="8"/>
      <c r="DG1459" s="8"/>
      <c r="DH1459" s="8"/>
      <c r="DI1459" s="4"/>
      <c r="DJ1459" s="4"/>
      <c r="DK1459" s="4"/>
      <c r="DL1459" s="4"/>
      <c r="DM1459" s="4"/>
      <c r="DN1459" s="4"/>
      <c r="DO1459" s="4"/>
      <c r="DP1459" s="4"/>
      <c r="DQ1459" s="4"/>
      <c r="DR1459" s="4"/>
      <c r="DS1459" s="4"/>
      <c r="DT1459" s="4"/>
      <c r="DU1459" s="4"/>
      <c r="DV1459" s="4"/>
      <c r="DW1459" s="4"/>
      <c r="DX1459" s="4"/>
      <c r="DY1459" s="4"/>
      <c r="DZ1459" s="4"/>
      <c r="EA1459" s="4"/>
      <c r="EB1459" s="4"/>
      <c r="EC1459" s="8"/>
      <c r="ED1459" s="8"/>
      <c r="EE1459" s="8"/>
      <c r="EF1459" s="8"/>
      <c r="EG1459" s="8"/>
      <c r="EH1459" s="8"/>
      <c r="EI1459" s="4"/>
      <c r="EJ1459" s="4"/>
      <c r="EK1459" s="3"/>
    </row>
    <row r="1460" spans="1:149" hidden="1">
      <c r="A1460" s="11" t="s">
        <v>9940</v>
      </c>
      <c r="B1460" s="3" t="s">
        <v>8373</v>
      </c>
      <c r="C1460" s="3">
        <v>1999</v>
      </c>
      <c r="D1460" s="3" t="s">
        <v>9649</v>
      </c>
      <c r="E1460" s="3" t="s">
        <v>9650</v>
      </c>
      <c r="F1460" s="3">
        <v>1</v>
      </c>
      <c r="G1460" s="3"/>
      <c r="H1460" s="3" t="s">
        <v>9655</v>
      </c>
      <c r="I1460" s="3"/>
      <c r="J1460" s="3"/>
      <c r="K1460" s="3" t="s">
        <v>9651</v>
      </c>
      <c r="L1460" s="4"/>
      <c r="M1460" s="3" t="s">
        <v>9652</v>
      </c>
      <c r="T1460" s="3" t="s">
        <v>9653</v>
      </c>
      <c r="V1460" s="3"/>
      <c r="W1460" s="3"/>
      <c r="X1460" s="5" t="s">
        <v>9654</v>
      </c>
      <c r="Y1460" s="5"/>
      <c r="Z1460" s="3">
        <v>0</v>
      </c>
      <c r="AA1460" s="3" t="s">
        <v>9265</v>
      </c>
      <c r="AB1460" s="4"/>
      <c r="AE1460" s="3"/>
      <c r="AF1460" s="4"/>
      <c r="AG1460" s="4"/>
      <c r="AH1460" s="4"/>
      <c r="AI1460" s="4"/>
      <c r="AJ1460" s="4"/>
      <c r="AK1460" s="3"/>
      <c r="AL1460" s="3"/>
      <c r="AM1460" s="3"/>
      <c r="AN1460" s="3"/>
      <c r="AO1460" s="4"/>
      <c r="AP1460" s="12"/>
      <c r="AQ1460" s="4"/>
      <c r="AR1460" s="3"/>
      <c r="AS1460" s="3"/>
      <c r="AT1460" s="4"/>
      <c r="AU1460" s="3"/>
      <c r="AV1460" s="4"/>
      <c r="AW1460" s="4"/>
      <c r="AX1460" s="4"/>
      <c r="AY1460" s="4"/>
      <c r="AZ1460" s="4"/>
      <c r="BA1460" s="4"/>
      <c r="BB1460" s="4"/>
      <c r="BC1460" s="4"/>
      <c r="BD1460" s="4"/>
      <c r="BE1460" s="4"/>
      <c r="BF1460" s="3"/>
      <c r="BG1460" s="3"/>
      <c r="BH1460" s="3"/>
      <c r="BI1460" s="4"/>
      <c r="BJ1460" s="3"/>
      <c r="BK1460" s="4"/>
      <c r="BL1460" s="4"/>
      <c r="BM1460" s="3"/>
      <c r="BN1460" s="4"/>
      <c r="BO1460" s="4"/>
      <c r="BP1460" s="4"/>
      <c r="BQ1460" s="4"/>
      <c r="BR1460" s="4"/>
      <c r="BS1460" s="4"/>
      <c r="BT1460" s="4"/>
      <c r="BU1460" s="4"/>
      <c r="BV1460" s="4"/>
      <c r="BW1460" s="4"/>
      <c r="BX1460" s="4"/>
      <c r="BY1460" s="4"/>
      <c r="BZ1460" s="4"/>
      <c r="CA1460" s="4"/>
      <c r="CB1460" s="4"/>
      <c r="CC1460" s="4"/>
      <c r="CD1460" s="4"/>
      <c r="CE1460" s="4"/>
      <c r="CF1460" s="4"/>
      <c r="CG1460" s="4"/>
      <c r="CH1460" s="4"/>
      <c r="CI1460" s="4"/>
      <c r="CJ1460" s="4"/>
      <c r="CK1460" s="4"/>
      <c r="CL1460" s="4"/>
      <c r="CM1460" s="4"/>
      <c r="CN1460" s="4"/>
      <c r="CO1460" s="4"/>
      <c r="CP1460" s="4"/>
      <c r="CQ1460" s="4"/>
      <c r="CR1460" s="4"/>
      <c r="CS1460" s="4"/>
      <c r="CT1460" s="4"/>
      <c r="CU1460" s="4"/>
      <c r="CV1460" s="4"/>
      <c r="CW1460" s="4"/>
      <c r="CX1460" s="4"/>
      <c r="CY1460" s="4"/>
      <c r="CZ1460" s="4"/>
      <c r="DA1460" s="4"/>
      <c r="DB1460" s="4"/>
      <c r="DC1460" s="4"/>
      <c r="DD1460" s="4"/>
      <c r="DE1460" s="3"/>
      <c r="DF1460" s="3"/>
      <c r="DG1460" s="4"/>
      <c r="DH1460" s="4"/>
      <c r="DI1460" s="4"/>
      <c r="DJ1460" s="4"/>
      <c r="DK1460" s="4"/>
      <c r="DL1460" s="4"/>
      <c r="DM1460" s="4"/>
      <c r="DN1460" s="4"/>
      <c r="DO1460" s="4"/>
      <c r="DP1460" s="4"/>
      <c r="DQ1460" s="4"/>
      <c r="DR1460" s="4"/>
      <c r="DS1460" s="4"/>
      <c r="DT1460" s="4"/>
      <c r="DU1460" s="4"/>
      <c r="DV1460" s="4"/>
      <c r="DW1460" s="4"/>
      <c r="DX1460" s="4"/>
      <c r="DY1460" s="4"/>
      <c r="DZ1460" s="4"/>
      <c r="EA1460" s="4"/>
      <c r="EB1460" s="4"/>
      <c r="EC1460" s="4"/>
      <c r="ED1460" s="4"/>
      <c r="EE1460" s="4"/>
      <c r="EF1460" s="4"/>
      <c r="EG1460" s="4"/>
      <c r="EH1460" s="4"/>
      <c r="EI1460" s="4"/>
      <c r="EJ1460" s="4"/>
      <c r="EK1460" s="4"/>
      <c r="EL1460" s="4"/>
      <c r="EM1460" s="4"/>
      <c r="EN1460" s="4"/>
      <c r="EO1460" s="4"/>
      <c r="EP1460" s="4"/>
      <c r="EQ1460" s="4"/>
      <c r="ER1460" s="4"/>
    </row>
    <row r="1461" spans="1:149" hidden="1">
      <c r="A1461" s="11" t="s">
        <v>9940</v>
      </c>
      <c r="B1461" s="3" t="s">
        <v>8379</v>
      </c>
      <c r="C1461" s="3">
        <v>2012</v>
      </c>
      <c r="D1461" s="3" t="s">
        <v>6331</v>
      </c>
      <c r="E1461" s="3" t="s">
        <v>8965</v>
      </c>
      <c r="F1461" s="3">
        <v>1</v>
      </c>
      <c r="G1461" s="4"/>
      <c r="H1461" s="3" t="s">
        <v>6334</v>
      </c>
      <c r="I1461" s="3"/>
      <c r="J1461" s="3"/>
      <c r="K1461" s="4"/>
      <c r="L1461" s="4"/>
      <c r="M1461" s="4"/>
      <c r="T1461" s="4"/>
      <c r="V1461" s="3"/>
      <c r="W1461" s="4"/>
      <c r="X1461" s="5" t="s">
        <v>6335</v>
      </c>
      <c r="Y1461" s="5"/>
      <c r="Z1461" s="3">
        <v>1</v>
      </c>
      <c r="AA1461" s="4"/>
      <c r="AB1461" s="4"/>
      <c r="AE1461" s="3"/>
      <c r="AF1461" s="3"/>
      <c r="AG1461" s="3"/>
      <c r="AH1461" s="4"/>
      <c r="AI1461" s="4"/>
      <c r="AJ1461" s="4"/>
      <c r="AK1461" s="3"/>
      <c r="AL1461" s="3"/>
      <c r="AM1461" s="3"/>
      <c r="AN1461" s="3"/>
      <c r="AO1461" s="4"/>
      <c r="AP1461" s="4"/>
      <c r="AQ1461" s="3"/>
      <c r="AR1461" s="4"/>
      <c r="AS1461" s="4"/>
      <c r="AT1461" s="4"/>
      <c r="AU1461" s="4"/>
      <c r="AV1461" s="4"/>
      <c r="AW1461" s="4"/>
      <c r="AX1461" s="4"/>
      <c r="AY1461" s="4"/>
      <c r="AZ1461" s="4"/>
      <c r="BA1461" s="3"/>
      <c r="BB1461" s="4"/>
      <c r="BC1461" s="3"/>
      <c r="BD1461" s="3"/>
      <c r="BE1461" s="3"/>
      <c r="BF1461" s="4"/>
      <c r="BG1461" s="3"/>
      <c r="BH1461" s="3"/>
      <c r="BI1461" s="4"/>
      <c r="BJ1461" s="4"/>
      <c r="BK1461" s="4"/>
      <c r="BL1461" s="4"/>
      <c r="BM1461" s="4"/>
      <c r="BN1461" s="4"/>
      <c r="BO1461" s="4"/>
      <c r="BP1461" s="4"/>
      <c r="BQ1461" s="4"/>
      <c r="BR1461" s="4"/>
      <c r="BS1461" s="4"/>
      <c r="BT1461" s="4"/>
      <c r="BU1461" s="4"/>
      <c r="BV1461" s="4"/>
      <c r="BW1461" s="4"/>
      <c r="BX1461" s="4"/>
      <c r="BY1461" s="4"/>
      <c r="BZ1461" s="4"/>
      <c r="CA1461" s="4"/>
      <c r="CB1461" s="4"/>
      <c r="CC1461" s="4"/>
      <c r="CD1461" s="4"/>
      <c r="CE1461" s="4"/>
      <c r="CF1461" s="4"/>
      <c r="CG1461" s="4"/>
      <c r="CH1461" s="4"/>
      <c r="CI1461" s="4"/>
      <c r="CJ1461" s="4"/>
      <c r="CK1461" s="4"/>
      <c r="CL1461" s="4"/>
      <c r="CM1461" s="4"/>
      <c r="CN1461" s="4"/>
      <c r="CO1461" s="4"/>
      <c r="CP1461" s="4"/>
      <c r="CQ1461" s="4"/>
      <c r="CR1461" s="4"/>
      <c r="CS1461" s="4"/>
      <c r="CT1461" s="4"/>
      <c r="CU1461" s="4"/>
      <c r="CV1461" s="4"/>
      <c r="CW1461" s="3"/>
      <c r="CX1461" s="3"/>
      <c r="CY1461" s="8"/>
      <c r="CZ1461" s="4"/>
      <c r="DA1461" s="4"/>
      <c r="DB1461" s="4"/>
      <c r="DC1461" s="4"/>
      <c r="DD1461" s="8"/>
      <c r="DE1461" s="8"/>
      <c r="DF1461" s="8"/>
      <c r="DG1461" s="8"/>
      <c r="DH1461" s="4"/>
      <c r="DI1461" s="4"/>
      <c r="DJ1461" s="4"/>
      <c r="DK1461" s="4"/>
      <c r="DL1461" s="4"/>
      <c r="DM1461" s="4"/>
      <c r="DN1461" s="4"/>
      <c r="DO1461" s="4"/>
      <c r="DP1461" s="4"/>
      <c r="DQ1461" s="4"/>
      <c r="DR1461" s="4"/>
      <c r="DS1461" s="4"/>
      <c r="DT1461" s="4"/>
      <c r="DU1461" s="4"/>
      <c r="DV1461" s="4"/>
      <c r="DW1461" s="4"/>
      <c r="DX1461" s="4"/>
      <c r="DY1461" s="4"/>
      <c r="DZ1461" s="4"/>
      <c r="EA1461" s="4"/>
      <c r="EB1461" s="8"/>
      <c r="EC1461" s="8"/>
      <c r="ED1461" s="8"/>
      <c r="EE1461" s="8"/>
      <c r="EF1461" s="8"/>
      <c r="EG1461" s="8"/>
      <c r="EH1461" s="4"/>
      <c r="EI1461" s="4"/>
      <c r="EJ1461" s="4"/>
    </row>
    <row r="1462" spans="1:149" ht="13" hidden="1" customHeight="1">
      <c r="A1462" s="11" t="s">
        <v>9940</v>
      </c>
      <c r="B1462" s="3" t="s">
        <v>8373</v>
      </c>
      <c r="C1462" s="3">
        <v>2001</v>
      </c>
      <c r="D1462" s="3" t="s">
        <v>8966</v>
      </c>
      <c r="E1462" s="3" t="s">
        <v>8967</v>
      </c>
      <c r="F1462" s="3">
        <v>1</v>
      </c>
      <c r="G1462" s="3"/>
      <c r="H1462" s="3" t="s">
        <v>8970</v>
      </c>
      <c r="I1462" s="3"/>
      <c r="J1462" s="3"/>
      <c r="K1462" s="3" t="s">
        <v>132</v>
      </c>
      <c r="L1462" s="4"/>
      <c r="M1462" s="3" t="s">
        <v>8382</v>
      </c>
      <c r="T1462" s="3" t="s">
        <v>8968</v>
      </c>
      <c r="V1462" s="3"/>
      <c r="W1462" s="3"/>
      <c r="X1462" s="5" t="s">
        <v>8969</v>
      </c>
      <c r="Y1462" s="5"/>
      <c r="Z1462" s="3">
        <v>1</v>
      </c>
      <c r="AA1462" s="4"/>
      <c r="AB1462" s="4"/>
      <c r="AE1462" s="3"/>
      <c r="AF1462" s="3"/>
      <c r="AG1462" s="4"/>
      <c r="AH1462" s="4"/>
      <c r="AI1462" s="4"/>
      <c r="AJ1462" s="4"/>
      <c r="AK1462" s="3"/>
      <c r="AL1462" s="3"/>
      <c r="AM1462" s="3"/>
      <c r="AN1462" s="3"/>
      <c r="AO1462" s="4"/>
      <c r="AP1462" s="3"/>
      <c r="AQ1462" s="4"/>
      <c r="AR1462" s="3"/>
      <c r="AS1462" s="3"/>
      <c r="AT1462" s="4"/>
      <c r="AU1462" s="3"/>
      <c r="AV1462" s="4"/>
      <c r="AW1462" s="4"/>
      <c r="AX1462" s="4"/>
      <c r="AY1462" s="4"/>
      <c r="AZ1462" s="4"/>
      <c r="BA1462" s="4"/>
      <c r="BB1462" s="4"/>
      <c r="BC1462" s="4"/>
      <c r="BD1462" s="4"/>
      <c r="BE1462" s="4"/>
      <c r="BF1462" s="3"/>
      <c r="BG1462" s="3"/>
      <c r="BH1462" s="3"/>
      <c r="BI1462" s="4"/>
      <c r="BJ1462" s="3"/>
      <c r="BK1462" s="4"/>
      <c r="BL1462" s="4"/>
      <c r="BM1462" s="3"/>
      <c r="BN1462" s="4"/>
      <c r="BO1462" s="4"/>
      <c r="BP1462" s="4"/>
      <c r="BQ1462" s="4"/>
      <c r="BR1462" s="4"/>
      <c r="BS1462" s="4"/>
      <c r="BT1462" s="4"/>
      <c r="BU1462" s="4"/>
      <c r="BV1462" s="4"/>
      <c r="BW1462" s="4"/>
      <c r="BX1462" s="4"/>
      <c r="BY1462" s="4"/>
      <c r="BZ1462" s="4"/>
      <c r="CA1462" s="4"/>
      <c r="CB1462" s="4"/>
      <c r="CC1462" s="4"/>
      <c r="CD1462" s="4"/>
      <c r="CE1462" s="4"/>
      <c r="CF1462" s="4"/>
      <c r="CG1462" s="4"/>
      <c r="CH1462" s="4"/>
      <c r="CI1462" s="4"/>
      <c r="CJ1462" s="4"/>
      <c r="CK1462" s="4"/>
      <c r="CL1462" s="4"/>
      <c r="CM1462" s="4"/>
      <c r="CN1462" s="4"/>
      <c r="CO1462" s="4"/>
      <c r="CP1462" s="4"/>
      <c r="CQ1462" s="4"/>
      <c r="CR1462" s="4"/>
      <c r="CS1462" s="4"/>
      <c r="CT1462" s="3"/>
      <c r="CU1462" s="3"/>
      <c r="CV1462" s="8"/>
      <c r="CW1462" s="4"/>
      <c r="CX1462" s="4"/>
      <c r="CY1462" s="4"/>
      <c r="CZ1462" s="4"/>
      <c r="DA1462" s="8"/>
      <c r="DB1462" s="8"/>
      <c r="DC1462" s="8"/>
      <c r="DD1462" s="8"/>
      <c r="DE1462" s="4"/>
      <c r="DF1462" s="4"/>
      <c r="DG1462" s="4"/>
      <c r="DH1462" s="4"/>
      <c r="DI1462" s="4"/>
      <c r="DJ1462" s="4"/>
      <c r="DK1462" s="4"/>
      <c r="DL1462" s="4"/>
      <c r="DM1462" s="4"/>
      <c r="DN1462" s="4"/>
      <c r="DO1462" s="4"/>
      <c r="DP1462" s="4"/>
      <c r="DQ1462" s="4"/>
      <c r="DR1462" s="4"/>
      <c r="DS1462" s="4"/>
      <c r="DT1462" s="4"/>
      <c r="DU1462" s="4"/>
      <c r="DV1462" s="4"/>
      <c r="DW1462" s="4"/>
      <c r="DX1462" s="4"/>
      <c r="DY1462" s="8"/>
      <c r="DZ1462" s="8"/>
      <c r="EA1462" s="8"/>
      <c r="EB1462" s="8"/>
      <c r="EC1462" s="8"/>
      <c r="ED1462" s="8"/>
      <c r="EE1462" s="4"/>
      <c r="EF1462" s="16"/>
      <c r="EG1462" s="4"/>
    </row>
    <row r="1463" spans="1:149" hidden="1">
      <c r="A1463" s="11" t="s">
        <v>9940</v>
      </c>
      <c r="B1463" s="3" t="s">
        <v>8373</v>
      </c>
      <c r="C1463" s="3">
        <v>2010</v>
      </c>
      <c r="D1463" s="3" t="s">
        <v>5982</v>
      </c>
      <c r="E1463" s="3" t="s">
        <v>9656</v>
      </c>
      <c r="F1463" s="3">
        <v>1</v>
      </c>
      <c r="G1463" s="3"/>
      <c r="H1463" s="3" t="s">
        <v>5986</v>
      </c>
      <c r="I1463" s="3"/>
      <c r="J1463" s="3"/>
      <c r="K1463" s="3" t="s">
        <v>370</v>
      </c>
      <c r="L1463" s="4"/>
      <c r="M1463" s="3" t="s">
        <v>8582</v>
      </c>
      <c r="T1463" s="3" t="s">
        <v>5984</v>
      </c>
      <c r="V1463" s="3"/>
      <c r="W1463" s="3"/>
      <c r="X1463" s="5" t="s">
        <v>5987</v>
      </c>
      <c r="Y1463" s="5"/>
      <c r="Z1463" s="3">
        <v>0</v>
      </c>
      <c r="AA1463" s="3" t="s">
        <v>9249</v>
      </c>
      <c r="AB1463" s="4"/>
      <c r="AE1463" s="3"/>
      <c r="AF1463" s="4"/>
      <c r="AG1463" s="4"/>
      <c r="AH1463" s="4"/>
      <c r="AI1463" s="4"/>
      <c r="AJ1463" s="4"/>
      <c r="AK1463" s="3"/>
      <c r="AL1463" s="3"/>
      <c r="AM1463" s="3"/>
      <c r="AN1463" s="3"/>
      <c r="AO1463" s="4"/>
      <c r="AP1463" s="3"/>
      <c r="AQ1463" s="4"/>
      <c r="AR1463" s="3"/>
      <c r="AS1463" s="3"/>
      <c r="AT1463" s="4"/>
      <c r="AU1463" s="3"/>
      <c r="AV1463" s="4"/>
      <c r="AW1463" s="4"/>
      <c r="AX1463" s="4"/>
      <c r="AY1463" s="4"/>
      <c r="AZ1463" s="4"/>
      <c r="BA1463" s="4"/>
      <c r="BB1463" s="4"/>
      <c r="BC1463" s="4"/>
      <c r="BD1463" s="4"/>
      <c r="BE1463" s="4"/>
      <c r="BF1463" s="3"/>
      <c r="BG1463" s="3"/>
      <c r="BH1463" s="3"/>
      <c r="BI1463" s="4"/>
      <c r="BJ1463" s="3"/>
      <c r="BK1463" s="4"/>
      <c r="BL1463" s="4"/>
      <c r="BM1463" s="3"/>
      <c r="BN1463" s="4"/>
      <c r="BO1463" s="4"/>
      <c r="BP1463" s="4"/>
      <c r="BQ1463" s="4"/>
      <c r="BR1463" s="4"/>
      <c r="BS1463" s="4"/>
      <c r="BT1463" s="4"/>
      <c r="BU1463" s="4"/>
      <c r="BV1463" s="4"/>
      <c r="BW1463" s="4"/>
      <c r="BX1463" s="4"/>
      <c r="BY1463" s="4"/>
      <c r="BZ1463" s="4"/>
      <c r="CA1463" s="4"/>
      <c r="CB1463" s="4"/>
      <c r="CC1463" s="4"/>
      <c r="CD1463" s="4"/>
      <c r="CE1463" s="4"/>
      <c r="CF1463" s="4"/>
      <c r="CG1463" s="3"/>
      <c r="CH1463" s="3"/>
      <c r="CI1463" s="4"/>
      <c r="CJ1463" s="4"/>
      <c r="CK1463" s="4"/>
      <c r="CL1463" s="4"/>
      <c r="CM1463" s="4"/>
      <c r="CN1463" s="4"/>
      <c r="CO1463" s="4"/>
      <c r="CP1463" s="4"/>
      <c r="CQ1463" s="4"/>
      <c r="CR1463" s="4"/>
      <c r="CS1463" s="4"/>
      <c r="CT1463" s="4"/>
      <c r="CU1463" s="4"/>
      <c r="CV1463" s="4"/>
      <c r="CW1463" s="4"/>
      <c r="CX1463" s="4"/>
      <c r="CY1463" s="4"/>
      <c r="CZ1463" s="4"/>
      <c r="DA1463" s="4"/>
      <c r="DB1463" s="4"/>
      <c r="DC1463" s="4"/>
      <c r="DD1463" s="4"/>
      <c r="DE1463" s="4"/>
      <c r="DF1463" s="4"/>
      <c r="DG1463" s="4"/>
      <c r="DH1463" s="4"/>
      <c r="DI1463" s="4"/>
      <c r="DJ1463" s="4"/>
      <c r="DK1463" s="4"/>
      <c r="DL1463" s="4"/>
      <c r="DM1463" s="4"/>
      <c r="DN1463" s="4"/>
      <c r="DO1463" s="4"/>
      <c r="DP1463" s="4"/>
      <c r="DQ1463" s="4"/>
      <c r="DR1463" s="4"/>
      <c r="DS1463" s="4"/>
      <c r="DT1463" s="4"/>
    </row>
    <row r="1464" spans="1:149" hidden="1">
      <c r="A1464" s="11" t="s">
        <v>9940</v>
      </c>
      <c r="B1464" s="3" t="s">
        <v>8379</v>
      </c>
      <c r="C1464" s="3">
        <v>2003</v>
      </c>
      <c r="D1464" s="3" t="s">
        <v>6134</v>
      </c>
      <c r="E1464" s="3" t="s">
        <v>8971</v>
      </c>
      <c r="F1464" s="3">
        <v>1</v>
      </c>
      <c r="G1464" s="4"/>
      <c r="H1464" s="3" t="s">
        <v>6137</v>
      </c>
      <c r="I1464" s="3"/>
      <c r="J1464" s="3"/>
      <c r="K1464" s="4"/>
      <c r="L1464" s="4"/>
      <c r="M1464" s="4"/>
      <c r="T1464" s="4"/>
      <c r="V1464" s="3"/>
      <c r="W1464" s="4"/>
      <c r="X1464" s="5" t="s">
        <v>6138</v>
      </c>
      <c r="Y1464" s="5"/>
      <c r="Z1464" s="3">
        <v>1</v>
      </c>
      <c r="AA1464" s="4"/>
      <c r="AB1464" s="4"/>
      <c r="AE1464" s="3"/>
      <c r="AF1464" s="3"/>
      <c r="AG1464" s="3"/>
      <c r="AH1464" s="4"/>
      <c r="AI1464" s="4"/>
      <c r="AJ1464" s="4"/>
      <c r="AK1464" s="3"/>
      <c r="AL1464" s="3"/>
      <c r="AM1464" s="3"/>
      <c r="AN1464" s="3"/>
      <c r="AO1464" s="4"/>
      <c r="AP1464" s="4"/>
      <c r="AQ1464" s="3"/>
      <c r="AR1464" s="4"/>
      <c r="AS1464" s="4"/>
      <c r="AT1464" s="4"/>
      <c r="AU1464" s="4"/>
      <c r="AV1464" s="4"/>
      <c r="AW1464" s="4"/>
      <c r="AX1464" s="4"/>
      <c r="AY1464" s="4"/>
      <c r="AZ1464" s="4"/>
      <c r="BA1464" s="3"/>
      <c r="BB1464" s="4"/>
      <c r="BC1464" s="3"/>
      <c r="BD1464" s="3"/>
      <c r="BE1464" s="3"/>
      <c r="BF1464" s="4"/>
      <c r="BG1464" s="3"/>
      <c r="BH1464" s="3"/>
      <c r="BI1464" s="4"/>
      <c r="BJ1464" s="4"/>
      <c r="BK1464" s="4"/>
      <c r="BL1464" s="4"/>
      <c r="BM1464" s="4"/>
      <c r="BN1464" s="4"/>
      <c r="BO1464" s="4"/>
      <c r="BP1464" s="4"/>
      <c r="BQ1464" s="4"/>
      <c r="BR1464" s="4"/>
      <c r="BS1464" s="4"/>
      <c r="BT1464" s="4"/>
      <c r="BU1464" s="4"/>
      <c r="BV1464" s="4"/>
      <c r="BW1464" s="4"/>
      <c r="BX1464" s="4"/>
      <c r="BY1464" s="4"/>
      <c r="BZ1464" s="4"/>
      <c r="CA1464" s="4"/>
      <c r="CB1464" s="4"/>
      <c r="CC1464" s="4"/>
      <c r="CD1464" s="4"/>
      <c r="CE1464" s="4"/>
      <c r="CF1464" s="4"/>
      <c r="CG1464" s="4"/>
      <c r="CH1464" s="4"/>
      <c r="CI1464" s="4"/>
      <c r="CJ1464" s="4"/>
      <c r="CK1464" s="4"/>
      <c r="CL1464" s="4"/>
      <c r="CM1464" s="4"/>
      <c r="CN1464" s="4"/>
      <c r="CO1464" s="4"/>
      <c r="CP1464" s="4"/>
      <c r="CQ1464" s="4"/>
      <c r="CR1464" s="4"/>
      <c r="CS1464" s="4"/>
      <c r="CT1464" s="4"/>
      <c r="CU1464" s="4"/>
      <c r="CV1464" s="4"/>
      <c r="CW1464" s="4"/>
      <c r="CX1464" s="4"/>
      <c r="CY1464" s="4"/>
      <c r="CZ1464" s="3"/>
      <c r="DA1464" s="3"/>
      <c r="DB1464" s="3"/>
      <c r="DC1464" s="4"/>
      <c r="DD1464" s="4"/>
      <c r="DE1464" s="4"/>
      <c r="DF1464" s="4"/>
      <c r="DG1464" s="8"/>
      <c r="DH1464" s="8"/>
      <c r="DI1464" s="8"/>
      <c r="DJ1464" s="8"/>
      <c r="DK1464" s="4"/>
      <c r="DL1464" s="4"/>
      <c r="DM1464" s="4"/>
      <c r="DN1464" s="4"/>
      <c r="DO1464" s="4"/>
      <c r="DP1464" s="4"/>
      <c r="DQ1464" s="4"/>
      <c r="DR1464" s="4"/>
      <c r="DS1464" s="4"/>
      <c r="DT1464" s="4"/>
      <c r="DU1464" s="4"/>
      <c r="DV1464" s="4"/>
      <c r="DW1464" s="4"/>
      <c r="DX1464" s="4"/>
      <c r="DY1464" s="4"/>
      <c r="DZ1464" s="4"/>
      <c r="EA1464" s="4"/>
      <c r="EB1464" s="4"/>
      <c r="EC1464" s="4"/>
      <c r="ED1464" s="4"/>
      <c r="EE1464" s="8"/>
      <c r="EF1464" s="8"/>
      <c r="EG1464" s="8"/>
      <c r="EH1464" s="8"/>
      <c r="EI1464" s="8"/>
      <c r="EJ1464" s="8"/>
      <c r="EK1464" s="4"/>
      <c r="EL1464" s="4"/>
      <c r="EM1464" s="3"/>
    </row>
    <row r="1465" spans="1:149" hidden="1">
      <c r="A1465" s="11" t="s">
        <v>9940</v>
      </c>
      <c r="B1465" s="3" t="s">
        <v>8379</v>
      </c>
      <c r="C1465" s="3">
        <v>2017</v>
      </c>
      <c r="D1465" s="3" t="s">
        <v>7466</v>
      </c>
      <c r="E1465" s="3" t="s">
        <v>9657</v>
      </c>
      <c r="F1465" s="3">
        <v>0</v>
      </c>
      <c r="G1465" s="3" t="s">
        <v>9249</v>
      </c>
      <c r="H1465" s="3" t="s">
        <v>7469</v>
      </c>
      <c r="I1465" s="3"/>
      <c r="J1465" s="3"/>
      <c r="K1465" s="4"/>
      <c r="L1465" s="4"/>
      <c r="M1465" s="4"/>
      <c r="T1465" s="4"/>
      <c r="V1465" s="4"/>
      <c r="W1465" s="4"/>
      <c r="X1465" s="5" t="s">
        <v>7470</v>
      </c>
      <c r="Y1465" s="5"/>
      <c r="Z1465" s="4"/>
      <c r="AA1465" s="4"/>
      <c r="AB1465" s="4"/>
      <c r="AE1465" s="4"/>
      <c r="AF1465" s="4"/>
      <c r="AG1465" s="3"/>
      <c r="AH1465" s="3"/>
      <c r="AI1465" s="3"/>
      <c r="AJ1465" s="3"/>
      <c r="AK1465" s="4"/>
      <c r="AL1465" s="4"/>
      <c r="AM1465" s="4"/>
      <c r="AN1465" s="4"/>
      <c r="AO1465" s="4"/>
      <c r="AP1465" s="4"/>
      <c r="AQ1465" s="4"/>
      <c r="AR1465" s="4"/>
      <c r="AS1465" s="4"/>
      <c r="AT1465" s="4"/>
      <c r="AU1465" s="4"/>
      <c r="AV1465" s="4"/>
      <c r="AW1465" s="3"/>
      <c r="AX1465" s="4"/>
      <c r="AY1465" s="3"/>
      <c r="AZ1465" s="3"/>
      <c r="BA1465" s="3"/>
      <c r="BB1465" s="4"/>
      <c r="BC1465" s="3"/>
      <c r="BD1465" s="3"/>
      <c r="BE1465" s="4"/>
      <c r="BF1465" s="4"/>
      <c r="BG1465" s="4"/>
      <c r="BH1465" s="4"/>
      <c r="BI1465" s="4"/>
      <c r="BJ1465" s="4"/>
      <c r="BK1465" s="4"/>
      <c r="BL1465" s="4"/>
      <c r="BM1465" s="4"/>
      <c r="BN1465" s="4"/>
      <c r="BO1465" s="4"/>
      <c r="BP1465" s="4"/>
      <c r="BQ1465" s="4"/>
      <c r="BR1465" s="4"/>
      <c r="BS1465" s="4"/>
      <c r="BT1465" s="4"/>
      <c r="BU1465" s="4"/>
      <c r="BV1465" s="4"/>
      <c r="BW1465" s="4"/>
      <c r="BX1465" s="4"/>
      <c r="BY1465" s="4"/>
      <c r="BZ1465" s="4"/>
      <c r="CA1465" s="4"/>
      <c r="CB1465" s="4"/>
      <c r="CC1465" s="4"/>
      <c r="CD1465" s="4"/>
      <c r="CE1465" s="4"/>
      <c r="CF1465" s="4"/>
      <c r="CG1465" s="4"/>
      <c r="CH1465" s="4"/>
      <c r="CI1465" s="4"/>
      <c r="CJ1465" s="4"/>
      <c r="CK1465" s="4"/>
      <c r="CL1465" s="4"/>
      <c r="CM1465" s="4"/>
      <c r="CN1465" s="4"/>
      <c r="CO1465" s="4"/>
      <c r="CP1465" s="4"/>
      <c r="CQ1465" s="4"/>
      <c r="CR1465" s="4"/>
      <c r="CS1465" s="4"/>
      <c r="CT1465" s="4"/>
      <c r="CU1465" s="4"/>
      <c r="CV1465" s="4"/>
      <c r="CW1465" s="4"/>
      <c r="CX1465" s="3"/>
      <c r="CY1465" s="3"/>
      <c r="CZ1465" s="4"/>
      <c r="DA1465" s="4"/>
      <c r="DB1465" s="4"/>
      <c r="DC1465" s="4"/>
      <c r="DD1465" s="4"/>
      <c r="DE1465" s="4"/>
      <c r="DF1465" s="4"/>
      <c r="DG1465" s="4"/>
      <c r="DH1465" s="4"/>
      <c r="DI1465" s="4"/>
      <c r="DJ1465" s="4"/>
      <c r="DK1465" s="4"/>
      <c r="DL1465" s="4"/>
      <c r="DM1465" s="4"/>
      <c r="DN1465" s="4"/>
      <c r="DO1465" s="4"/>
      <c r="DP1465" s="4"/>
      <c r="DQ1465" s="4"/>
      <c r="DR1465" s="4"/>
      <c r="DS1465" s="4"/>
      <c r="DT1465" s="4"/>
      <c r="DU1465" s="4"/>
      <c r="DV1465" s="4"/>
      <c r="DW1465" s="4"/>
      <c r="DX1465" s="4"/>
      <c r="DY1465" s="4"/>
      <c r="DZ1465" s="4"/>
      <c r="EA1465" s="4"/>
      <c r="EB1465" s="4"/>
      <c r="EC1465" s="4"/>
      <c r="ED1465" s="4"/>
      <c r="EE1465" s="4"/>
      <c r="EF1465" s="4"/>
      <c r="EG1465" s="4"/>
      <c r="EH1465" s="4"/>
      <c r="EI1465" s="4"/>
      <c r="EJ1465" s="4"/>
      <c r="EK1465" s="4"/>
    </row>
    <row r="1466" spans="1:149" hidden="1">
      <c r="A1466" s="11" t="s">
        <v>9940</v>
      </c>
      <c r="B1466" s="3" t="s">
        <v>8373</v>
      </c>
      <c r="C1466" s="3">
        <v>2016</v>
      </c>
      <c r="D1466" s="3" t="s">
        <v>2968</v>
      </c>
      <c r="E1466" s="3" t="s">
        <v>9658</v>
      </c>
      <c r="F1466" s="3">
        <v>0</v>
      </c>
      <c r="G1466" s="3" t="s">
        <v>9265</v>
      </c>
      <c r="H1466" s="3" t="s">
        <v>9660</v>
      </c>
      <c r="I1466" s="3"/>
      <c r="J1466" s="3"/>
      <c r="K1466" s="3" t="s">
        <v>4509</v>
      </c>
      <c r="L1466" s="4"/>
      <c r="M1466" s="3" t="s">
        <v>9659</v>
      </c>
      <c r="T1466" s="3" t="s">
        <v>4511</v>
      </c>
      <c r="V1466" s="4"/>
      <c r="W1466" s="4"/>
      <c r="X1466" s="5" t="s">
        <v>4514</v>
      </c>
      <c r="Y1466" s="5"/>
      <c r="Z1466" s="4"/>
      <c r="AA1466" s="4"/>
      <c r="AB1466" s="4"/>
      <c r="AE1466" s="4"/>
      <c r="AF1466" s="4"/>
      <c r="AG1466" s="3"/>
      <c r="AH1466" s="3"/>
      <c r="AI1466" s="3"/>
      <c r="AJ1466" s="3"/>
      <c r="AK1466" s="4"/>
      <c r="AL1466" s="3"/>
      <c r="AM1466" s="4"/>
      <c r="AN1466" s="3"/>
      <c r="AO1466" s="3"/>
      <c r="AP1466" s="4"/>
      <c r="AQ1466" s="3"/>
      <c r="AR1466" s="4"/>
      <c r="AS1466" s="4"/>
      <c r="AT1466" s="4"/>
      <c r="AU1466" s="4"/>
      <c r="AV1466" s="4"/>
      <c r="AW1466" s="4"/>
      <c r="AX1466" s="4"/>
      <c r="AY1466" s="4"/>
      <c r="AZ1466" s="4"/>
      <c r="BA1466" s="4"/>
      <c r="BB1466" s="3"/>
      <c r="BC1466" s="3"/>
      <c r="BD1466" s="3"/>
      <c r="BE1466" s="4"/>
      <c r="BF1466" s="3"/>
      <c r="BG1466" s="4"/>
      <c r="BH1466" s="4"/>
      <c r="BI1466" s="3"/>
      <c r="BJ1466" s="4"/>
      <c r="BK1466" s="4"/>
      <c r="BL1466" s="4"/>
      <c r="BM1466" s="4"/>
      <c r="BN1466" s="4"/>
      <c r="BO1466" s="4"/>
      <c r="BP1466" s="4"/>
      <c r="BQ1466" s="4"/>
      <c r="BR1466" s="4"/>
      <c r="BS1466" s="4"/>
      <c r="BT1466" s="4"/>
      <c r="BU1466" s="4"/>
      <c r="BV1466" s="4"/>
      <c r="BW1466" s="4"/>
      <c r="BX1466" s="4"/>
      <c r="BY1466" s="4"/>
      <c r="BZ1466" s="4"/>
      <c r="CA1466" s="4"/>
      <c r="CB1466" s="4"/>
      <c r="CC1466" s="4"/>
      <c r="CD1466" s="4"/>
      <c r="CE1466" s="4"/>
      <c r="CF1466" s="4"/>
      <c r="CG1466" s="4"/>
      <c r="CH1466" s="4"/>
      <c r="CI1466" s="4"/>
      <c r="CJ1466" s="4"/>
      <c r="CK1466" s="4"/>
      <c r="CL1466" s="4"/>
      <c r="CM1466" s="4"/>
      <c r="CN1466" s="4"/>
      <c r="CO1466" s="4"/>
      <c r="CP1466" s="4"/>
      <c r="CQ1466" s="3"/>
      <c r="CR1466" s="3"/>
      <c r="CS1466" s="4"/>
      <c r="CT1466" s="4"/>
      <c r="CU1466" s="4"/>
      <c r="CV1466" s="4"/>
      <c r="CW1466" s="4"/>
      <c r="CX1466" s="4"/>
      <c r="CY1466" s="4"/>
      <c r="CZ1466" s="4"/>
      <c r="DA1466" s="4"/>
      <c r="DB1466" s="4"/>
      <c r="DC1466" s="4"/>
      <c r="DD1466" s="4"/>
      <c r="DE1466" s="4"/>
      <c r="DF1466" s="4"/>
      <c r="DG1466" s="4"/>
      <c r="DH1466" s="4"/>
      <c r="DI1466" s="4"/>
      <c r="DJ1466" s="4"/>
      <c r="DK1466" s="4"/>
      <c r="DL1466" s="4"/>
      <c r="DM1466" s="4"/>
      <c r="DN1466" s="4"/>
      <c r="DO1466" s="4"/>
      <c r="DP1466" s="4"/>
      <c r="DQ1466" s="4"/>
      <c r="DR1466" s="4"/>
      <c r="DS1466" s="4"/>
      <c r="DT1466" s="4"/>
      <c r="DU1466" s="4"/>
      <c r="DV1466" s="4"/>
      <c r="DW1466" s="4"/>
      <c r="DX1466" s="4"/>
      <c r="DY1466" s="4"/>
      <c r="DZ1466" s="4"/>
      <c r="EA1466" s="4"/>
      <c r="EB1466" s="4"/>
      <c r="EC1466" s="4"/>
      <c r="ED1466" s="4"/>
    </row>
    <row r="1467" spans="1:149" hidden="1">
      <c r="A1467" s="11" t="s">
        <v>9940</v>
      </c>
      <c r="B1467" s="3" t="s">
        <v>8373</v>
      </c>
      <c r="C1467" s="3">
        <v>1998</v>
      </c>
      <c r="D1467" s="3" t="s">
        <v>9661</v>
      </c>
      <c r="E1467" s="3" t="s">
        <v>9662</v>
      </c>
      <c r="F1467" s="3">
        <v>0</v>
      </c>
      <c r="G1467" s="3" t="s">
        <v>9265</v>
      </c>
      <c r="H1467" s="3" t="s">
        <v>9667</v>
      </c>
      <c r="I1467" s="3"/>
      <c r="J1467" s="3"/>
      <c r="K1467" s="3" t="s">
        <v>9663</v>
      </c>
      <c r="L1467" s="4"/>
      <c r="M1467" s="3" t="s">
        <v>9664</v>
      </c>
      <c r="T1467" s="3" t="s">
        <v>9665</v>
      </c>
      <c r="V1467" s="4"/>
      <c r="W1467" s="4"/>
      <c r="X1467" s="5" t="s">
        <v>9666</v>
      </c>
      <c r="Y1467" s="5"/>
      <c r="Z1467" s="4"/>
      <c r="AA1467" s="4"/>
      <c r="AB1467" s="4"/>
      <c r="AE1467" s="4"/>
      <c r="AF1467" s="4"/>
      <c r="AG1467" s="3"/>
      <c r="AH1467" s="3"/>
      <c r="AI1467" s="3"/>
      <c r="AJ1467" s="3"/>
      <c r="AK1467" s="4"/>
      <c r="AL1467" s="3"/>
      <c r="AM1467" s="4"/>
      <c r="AN1467" s="3"/>
      <c r="AO1467" s="3"/>
      <c r="AP1467" s="4"/>
      <c r="AQ1467" s="3"/>
      <c r="AR1467" s="4"/>
      <c r="AS1467" s="4"/>
      <c r="AT1467" s="4"/>
      <c r="AU1467" s="4"/>
      <c r="AV1467" s="4"/>
      <c r="AW1467" s="4"/>
      <c r="AX1467" s="4"/>
      <c r="AY1467" s="4"/>
      <c r="AZ1467" s="4"/>
      <c r="BA1467" s="4"/>
      <c r="BB1467" s="3"/>
      <c r="BC1467" s="3"/>
      <c r="BD1467" s="3"/>
      <c r="BE1467" s="4"/>
      <c r="BF1467" s="3"/>
      <c r="BG1467" s="4"/>
      <c r="BH1467" s="3"/>
      <c r="BI1467" s="4"/>
      <c r="BJ1467" s="4"/>
      <c r="BK1467" s="4"/>
      <c r="BL1467" s="4"/>
      <c r="BM1467" s="4"/>
      <c r="BN1467" s="4"/>
      <c r="BO1467" s="4"/>
      <c r="BP1467" s="4"/>
      <c r="BQ1467" s="4"/>
      <c r="BR1467" s="4"/>
      <c r="BS1467" s="4"/>
      <c r="BT1467" s="4"/>
      <c r="BU1467" s="4"/>
      <c r="BV1467" s="4"/>
      <c r="BW1467" s="4"/>
      <c r="BX1467" s="4"/>
      <c r="BY1467" s="4"/>
      <c r="BZ1467" s="4"/>
      <c r="CA1467" s="4"/>
      <c r="CB1467" s="4"/>
      <c r="CC1467" s="4"/>
      <c r="CD1467" s="4"/>
      <c r="CE1467" s="4"/>
      <c r="CF1467" s="4"/>
      <c r="CG1467" s="4"/>
      <c r="CH1467" s="4"/>
      <c r="CI1467" s="4"/>
      <c r="CJ1467" s="4"/>
      <c r="CK1467" s="4"/>
      <c r="CL1467" s="4"/>
      <c r="CM1467" s="4"/>
      <c r="CN1467" s="4"/>
      <c r="CO1467" s="4"/>
      <c r="CP1467" s="4"/>
      <c r="CQ1467" s="4"/>
      <c r="CR1467" s="4"/>
      <c r="CS1467" s="4"/>
      <c r="CT1467" s="4"/>
      <c r="CU1467" s="3"/>
      <c r="CV1467" s="3"/>
      <c r="CW1467" s="4"/>
      <c r="CX1467" s="4"/>
      <c r="CY1467" s="4"/>
      <c r="CZ1467" s="4"/>
      <c r="DA1467" s="4"/>
      <c r="DB1467" s="4"/>
      <c r="DC1467" s="4"/>
      <c r="DD1467" s="4"/>
      <c r="DE1467" s="4"/>
      <c r="DF1467" s="4"/>
      <c r="DG1467" s="4"/>
      <c r="DH1467" s="4"/>
      <c r="DI1467" s="4"/>
      <c r="DJ1467" s="4"/>
      <c r="DK1467" s="4"/>
      <c r="DL1467" s="4"/>
      <c r="DM1467" s="4"/>
      <c r="DN1467" s="4"/>
      <c r="DO1467" s="4"/>
      <c r="DP1467" s="4"/>
      <c r="DQ1467" s="4"/>
      <c r="DR1467" s="4"/>
      <c r="DS1467" s="4"/>
      <c r="DT1467" s="4"/>
      <c r="DU1467" s="4"/>
      <c r="DV1467" s="4"/>
      <c r="DW1467" s="4"/>
      <c r="DX1467" s="4"/>
      <c r="DY1467" s="4"/>
      <c r="DZ1467" s="4"/>
      <c r="EA1467" s="4"/>
      <c r="EB1467" s="4"/>
      <c r="EC1467" s="4"/>
      <c r="ED1467" s="4"/>
      <c r="EE1467" s="4"/>
      <c r="EF1467" s="4"/>
      <c r="EG1467" s="4"/>
      <c r="EH1467" s="4"/>
    </row>
    <row r="1468" spans="1:149" hidden="1">
      <c r="A1468" s="11" t="s">
        <v>9940</v>
      </c>
      <c r="B1468" s="3" t="s">
        <v>8373</v>
      </c>
      <c r="C1468" s="3">
        <v>2014</v>
      </c>
      <c r="D1468" s="3" t="s">
        <v>11</v>
      </c>
      <c r="E1468" s="3" t="s">
        <v>8972</v>
      </c>
      <c r="F1468" s="3">
        <v>1</v>
      </c>
      <c r="G1468" s="3"/>
      <c r="H1468" s="3" t="s">
        <v>18</v>
      </c>
      <c r="I1468" s="3"/>
      <c r="J1468" s="3"/>
      <c r="K1468" s="3" t="s">
        <v>12</v>
      </c>
      <c r="L1468" s="4"/>
      <c r="M1468" s="3" t="s">
        <v>8973</v>
      </c>
      <c r="T1468" s="3" t="s">
        <v>14</v>
      </c>
      <c r="V1468" s="3"/>
      <c r="W1468" s="4"/>
      <c r="X1468" s="5" t="s">
        <v>19</v>
      </c>
      <c r="Y1468" s="5"/>
      <c r="Z1468" s="3">
        <v>1</v>
      </c>
      <c r="AA1468" s="4"/>
      <c r="AB1468" s="4"/>
      <c r="AE1468" s="3"/>
      <c r="AF1468" s="3"/>
      <c r="AG1468" s="4"/>
      <c r="AH1468" s="4"/>
      <c r="AI1468" s="4"/>
      <c r="AJ1468" s="4"/>
      <c r="AK1468" s="3"/>
      <c r="AL1468" s="3"/>
      <c r="AM1468" s="3"/>
      <c r="AN1468" s="3"/>
      <c r="AO1468" s="4"/>
      <c r="AP1468" s="3"/>
      <c r="AQ1468" s="4"/>
      <c r="AR1468" s="3"/>
      <c r="AS1468" s="3"/>
      <c r="AT1468" s="4"/>
      <c r="AU1468" s="3"/>
      <c r="AV1468" s="4"/>
      <c r="AW1468" s="4"/>
      <c r="AX1468" s="4"/>
      <c r="AY1468" s="4"/>
      <c r="AZ1468" s="4"/>
      <c r="BA1468" s="4"/>
      <c r="BB1468" s="4"/>
      <c r="BC1468" s="4"/>
      <c r="BD1468" s="4"/>
      <c r="BE1468" s="4"/>
      <c r="BF1468" s="3"/>
      <c r="BG1468" s="3"/>
      <c r="BH1468" s="3"/>
      <c r="BI1468" s="4"/>
      <c r="BJ1468" s="3"/>
      <c r="BK1468" s="4"/>
      <c r="BL1468" s="4"/>
      <c r="BM1468" s="3"/>
      <c r="BN1468" s="4"/>
      <c r="BO1468" s="4"/>
      <c r="BP1468" s="4"/>
      <c r="BQ1468" s="4"/>
      <c r="BR1468" s="4"/>
      <c r="BS1468" s="4"/>
      <c r="BT1468" s="4"/>
      <c r="BU1468" s="4"/>
      <c r="BV1468" s="4"/>
      <c r="BW1468" s="4"/>
      <c r="BX1468" s="4"/>
      <c r="BY1468" s="4"/>
      <c r="BZ1468" s="4"/>
      <c r="CA1468" s="4"/>
      <c r="CB1468" s="4"/>
      <c r="CC1468" s="4"/>
      <c r="CD1468" s="4"/>
      <c r="CE1468" s="4"/>
      <c r="CF1468" s="4"/>
      <c r="CG1468" s="4"/>
      <c r="CH1468" s="4"/>
      <c r="CI1468" s="4"/>
      <c r="CJ1468" s="4"/>
      <c r="CK1468" s="4"/>
      <c r="CL1468" s="4"/>
      <c r="CM1468" s="4"/>
      <c r="CN1468" s="4"/>
      <c r="CO1468" s="4"/>
      <c r="CP1468" s="4"/>
      <c r="CQ1468" s="4"/>
      <c r="CR1468" s="4"/>
      <c r="CS1468" s="4"/>
      <c r="CT1468" s="4"/>
      <c r="CU1468" s="4"/>
      <c r="CV1468" s="4"/>
      <c r="CW1468" s="4"/>
      <c r="CX1468" s="4"/>
      <c r="CY1468" s="4"/>
      <c r="CZ1468" s="4"/>
      <c r="DA1468" s="4"/>
      <c r="DB1468" s="4"/>
      <c r="DC1468" s="4"/>
      <c r="DD1468" s="4"/>
      <c r="DE1468" s="3"/>
      <c r="DF1468" s="3"/>
      <c r="DG1468" s="8"/>
      <c r="DH1468" s="4"/>
      <c r="DI1468" s="4"/>
      <c r="DJ1468" s="4"/>
      <c r="DK1468" s="4"/>
      <c r="DL1468" s="8"/>
      <c r="DM1468" s="8"/>
      <c r="DN1468" s="8"/>
      <c r="DO1468" s="8"/>
      <c r="DP1468" s="4"/>
      <c r="DQ1468" s="4"/>
      <c r="DR1468" s="4"/>
      <c r="DS1468" s="4"/>
      <c r="DT1468" s="4"/>
      <c r="DU1468" s="4"/>
      <c r="DV1468" s="4"/>
      <c r="DW1468" s="4"/>
      <c r="DX1468" s="4"/>
      <c r="DY1468" s="4"/>
      <c r="DZ1468" s="4"/>
      <c r="EA1468" s="4"/>
      <c r="EB1468" s="4"/>
      <c r="EC1468" s="4"/>
      <c r="ED1468" s="4"/>
      <c r="EE1468" s="4"/>
      <c r="EF1468" s="4"/>
      <c r="EG1468" s="4"/>
      <c r="EH1468" s="4"/>
      <c r="EI1468" s="4"/>
      <c r="EJ1468" s="8"/>
      <c r="EK1468" s="8"/>
      <c r="EL1468" s="8"/>
      <c r="EM1468" s="8"/>
      <c r="EN1468" s="8"/>
      <c r="EO1468" s="8"/>
      <c r="EP1468" s="4"/>
      <c r="EQ1468" s="4"/>
      <c r="ER1468" s="4"/>
    </row>
    <row r="1469" spans="1:149" hidden="1">
      <c r="A1469" s="11" t="s">
        <v>9940</v>
      </c>
      <c r="B1469" s="3" t="s">
        <v>8373</v>
      </c>
      <c r="C1469" s="3">
        <v>2017</v>
      </c>
      <c r="D1469" s="3" t="s">
        <v>4356</v>
      </c>
      <c r="E1469" s="3" t="s">
        <v>8974</v>
      </c>
      <c r="F1469" s="3">
        <v>1</v>
      </c>
      <c r="G1469" s="3"/>
      <c r="H1469" s="3" t="s">
        <v>8976</v>
      </c>
      <c r="I1469" s="3"/>
      <c r="J1469" s="3"/>
      <c r="K1469" s="3" t="s">
        <v>1656</v>
      </c>
      <c r="L1469" s="4"/>
      <c r="M1469" s="3" t="s">
        <v>8975</v>
      </c>
      <c r="T1469" s="3" t="s">
        <v>4358</v>
      </c>
      <c r="V1469" s="3"/>
      <c r="W1469" s="4"/>
      <c r="X1469" s="5" t="s">
        <v>4361</v>
      </c>
      <c r="Y1469" s="5"/>
      <c r="Z1469" s="3">
        <v>1</v>
      </c>
      <c r="AA1469" s="4"/>
      <c r="AB1469" s="4"/>
      <c r="AE1469" s="3"/>
      <c r="AF1469" s="3"/>
      <c r="AG1469" s="4"/>
      <c r="AH1469" s="4"/>
      <c r="AI1469" s="4"/>
      <c r="AJ1469" s="4"/>
      <c r="AK1469" s="3"/>
      <c r="AL1469" s="7"/>
      <c r="AM1469" s="3"/>
      <c r="AN1469" s="3"/>
      <c r="AO1469" s="4"/>
      <c r="AP1469" s="3"/>
      <c r="AQ1469" s="4"/>
      <c r="AR1469" s="4"/>
      <c r="AS1469" s="3"/>
      <c r="AT1469" s="4"/>
      <c r="AU1469" s="3"/>
      <c r="AV1469" s="4"/>
      <c r="AW1469" s="4"/>
      <c r="AX1469" s="4"/>
      <c r="AY1469" s="4"/>
      <c r="AZ1469" s="4"/>
      <c r="BA1469" s="4"/>
      <c r="BB1469" s="4"/>
      <c r="BC1469" s="4"/>
      <c r="BD1469" s="4"/>
      <c r="BE1469" s="4"/>
      <c r="BF1469" s="3"/>
      <c r="BG1469" s="3"/>
      <c r="BH1469" s="3"/>
      <c r="BI1469" s="4"/>
      <c r="BJ1469" s="3"/>
      <c r="BK1469" s="4"/>
      <c r="BL1469" s="4"/>
      <c r="BM1469" s="3"/>
      <c r="BN1469" s="4"/>
      <c r="BO1469" s="4"/>
      <c r="BP1469" s="4"/>
      <c r="BQ1469" s="4"/>
      <c r="BR1469" s="4"/>
      <c r="BS1469" s="4"/>
      <c r="BT1469" s="4"/>
      <c r="BU1469" s="4"/>
      <c r="BV1469" s="4"/>
      <c r="BW1469" s="4"/>
      <c r="BX1469" s="4"/>
      <c r="BY1469" s="4"/>
      <c r="BZ1469" s="4"/>
      <c r="CA1469" s="4"/>
      <c r="CB1469" s="4"/>
      <c r="CC1469" s="4"/>
      <c r="CD1469" s="4"/>
      <c r="CE1469" s="4"/>
      <c r="CF1469" s="4"/>
      <c r="CG1469" s="4"/>
      <c r="CH1469" s="4"/>
      <c r="CI1469" s="4"/>
      <c r="CJ1469" s="4"/>
      <c r="CK1469" s="4"/>
      <c r="CL1469" s="4"/>
      <c r="CM1469" s="4"/>
      <c r="CN1469" s="4"/>
      <c r="CO1469" s="4"/>
      <c r="CP1469" s="4"/>
      <c r="CQ1469" s="4"/>
      <c r="CR1469" s="4"/>
      <c r="CS1469" s="4"/>
      <c r="CT1469" s="4"/>
      <c r="CU1469" s="4"/>
      <c r="CV1469" s="4"/>
      <c r="CW1469" s="4"/>
      <c r="CX1469" s="4"/>
      <c r="CY1469" s="4"/>
      <c r="CZ1469" s="4"/>
      <c r="DA1469" s="4"/>
      <c r="DB1469" s="4"/>
      <c r="DC1469" s="4"/>
      <c r="DD1469" s="4"/>
      <c r="DE1469" s="4"/>
      <c r="DF1469" s="3"/>
      <c r="DG1469" s="3"/>
      <c r="DH1469" s="8"/>
      <c r="DI1469" s="4"/>
      <c r="DJ1469" s="4"/>
      <c r="DK1469" s="4"/>
      <c r="DL1469" s="4"/>
      <c r="DM1469" s="8"/>
      <c r="DN1469" s="8"/>
      <c r="DO1469" s="8"/>
      <c r="DP1469" s="8"/>
      <c r="DQ1469" s="4"/>
      <c r="DR1469" s="4"/>
      <c r="DS1469" s="4"/>
      <c r="DT1469" s="4"/>
      <c r="DU1469" s="4"/>
      <c r="DV1469" s="4"/>
      <c r="DW1469" s="4"/>
      <c r="DX1469" s="4"/>
      <c r="DY1469" s="4"/>
      <c r="DZ1469" s="4"/>
      <c r="EA1469" s="4"/>
      <c r="EB1469" s="4"/>
      <c r="EC1469" s="4"/>
      <c r="ED1469" s="4"/>
      <c r="EE1469" s="4"/>
      <c r="EF1469" s="4"/>
      <c r="EG1469" s="4"/>
      <c r="EH1469" s="4"/>
      <c r="EI1469" s="4"/>
      <c r="EJ1469" s="4"/>
      <c r="EK1469" s="8"/>
      <c r="EL1469" s="8"/>
      <c r="EM1469" s="8"/>
      <c r="EN1469" s="8"/>
      <c r="EO1469" s="8"/>
      <c r="EP1469" s="8"/>
      <c r="EQ1469" s="4"/>
      <c r="ER1469" s="4"/>
      <c r="ES1469" s="4"/>
    </row>
    <row r="1470" spans="1:149" hidden="1">
      <c r="A1470" s="11" t="s">
        <v>9940</v>
      </c>
      <c r="B1470" s="3" t="s">
        <v>8373</v>
      </c>
      <c r="C1470" s="3">
        <v>2015</v>
      </c>
      <c r="D1470" s="3" t="s">
        <v>6379</v>
      </c>
      <c r="E1470" s="3" t="s">
        <v>9668</v>
      </c>
      <c r="F1470" s="3">
        <v>1</v>
      </c>
      <c r="G1470" s="3"/>
      <c r="H1470" s="3" t="s">
        <v>9669</v>
      </c>
      <c r="I1470" s="3"/>
      <c r="J1470" s="3"/>
      <c r="K1470" s="3" t="s">
        <v>1160</v>
      </c>
      <c r="L1470" s="4"/>
      <c r="M1470" s="3" t="s">
        <v>8692</v>
      </c>
      <c r="T1470" s="3" t="s">
        <v>6381</v>
      </c>
      <c r="V1470" s="3"/>
      <c r="W1470" s="3"/>
      <c r="X1470" s="5" t="s">
        <v>6384</v>
      </c>
      <c r="Y1470" s="5"/>
      <c r="Z1470" s="3">
        <v>0</v>
      </c>
      <c r="AA1470" s="3" t="s">
        <v>9178</v>
      </c>
      <c r="AB1470" s="3"/>
      <c r="AE1470" s="3"/>
      <c r="AF1470" s="4"/>
      <c r="AG1470" s="4"/>
      <c r="AH1470" s="4"/>
      <c r="AI1470" s="4"/>
      <c r="AJ1470" s="4"/>
      <c r="AK1470" s="3"/>
      <c r="AL1470" s="3"/>
      <c r="AM1470" s="3"/>
      <c r="AN1470" s="3"/>
      <c r="AO1470" s="4"/>
      <c r="AP1470" s="3"/>
      <c r="AQ1470" s="4"/>
      <c r="AR1470" s="3"/>
      <c r="AS1470" s="3"/>
      <c r="AT1470" s="4"/>
      <c r="AU1470" s="3"/>
      <c r="AV1470" s="4"/>
      <c r="AW1470" s="4"/>
      <c r="AX1470" s="4"/>
      <c r="AY1470" s="4"/>
      <c r="AZ1470" s="4"/>
      <c r="BA1470" s="4"/>
      <c r="BB1470" s="4"/>
      <c r="BC1470" s="4"/>
      <c r="BD1470" s="4"/>
      <c r="BE1470" s="4"/>
      <c r="BF1470" s="3"/>
      <c r="BG1470" s="3"/>
      <c r="BH1470" s="3"/>
      <c r="BI1470" s="4"/>
      <c r="BJ1470" s="3"/>
      <c r="BK1470" s="4"/>
      <c r="BL1470" s="4"/>
      <c r="BM1470" s="4"/>
      <c r="BN1470" s="3"/>
      <c r="BO1470" s="4"/>
      <c r="BP1470" s="4"/>
      <c r="BQ1470" s="4"/>
      <c r="BR1470" s="4"/>
      <c r="BS1470" s="4"/>
      <c r="BT1470" s="4"/>
      <c r="BU1470" s="4"/>
      <c r="BV1470" s="4"/>
      <c r="BW1470" s="4"/>
      <c r="BX1470" s="4"/>
      <c r="BY1470" s="4"/>
      <c r="BZ1470" s="4"/>
      <c r="CA1470" s="4"/>
      <c r="CB1470" s="4"/>
      <c r="CC1470" s="4"/>
      <c r="CD1470" s="4"/>
      <c r="CE1470" s="4"/>
      <c r="CF1470" s="4"/>
      <c r="CG1470" s="4"/>
      <c r="CH1470" s="4"/>
      <c r="CI1470" s="4"/>
      <c r="CJ1470" s="4"/>
      <c r="CK1470" s="4"/>
      <c r="CL1470" s="4"/>
      <c r="CM1470" s="3"/>
      <c r="CN1470" s="3"/>
      <c r="CO1470" s="4"/>
      <c r="CP1470" s="4"/>
      <c r="CQ1470" s="4"/>
      <c r="CR1470" s="4"/>
      <c r="CS1470" s="4"/>
      <c r="CT1470" s="4"/>
      <c r="CU1470" s="4"/>
      <c r="CV1470" s="4"/>
      <c r="CW1470" s="4"/>
      <c r="CX1470" s="4"/>
      <c r="CY1470" s="4"/>
      <c r="CZ1470" s="4"/>
      <c r="DA1470" s="4"/>
      <c r="DB1470" s="4"/>
      <c r="DC1470" s="4"/>
      <c r="DD1470" s="4"/>
      <c r="DE1470" s="4"/>
      <c r="DF1470" s="4"/>
      <c r="DG1470" s="4"/>
      <c r="DH1470" s="4"/>
      <c r="DI1470" s="4"/>
      <c r="DJ1470" s="4"/>
      <c r="DK1470" s="4"/>
      <c r="DL1470" s="4"/>
      <c r="DM1470" s="4"/>
      <c r="DN1470" s="4"/>
      <c r="DO1470" s="4"/>
      <c r="DP1470" s="4"/>
      <c r="DQ1470" s="4"/>
      <c r="DR1470" s="4"/>
      <c r="DS1470" s="4"/>
      <c r="DT1470" s="4"/>
      <c r="DU1470" s="4"/>
      <c r="DV1470" s="4"/>
      <c r="DW1470" s="4"/>
      <c r="DX1470" s="4"/>
      <c r="DY1470" s="4"/>
      <c r="DZ1470" s="4"/>
    </row>
    <row r="1471" spans="1:149" hidden="1">
      <c r="A1471" s="11" t="s">
        <v>9940</v>
      </c>
      <c r="B1471" s="3" t="s">
        <v>8379</v>
      </c>
      <c r="C1471" s="3">
        <v>2015</v>
      </c>
      <c r="D1471" s="3" t="s">
        <v>1294</v>
      </c>
      <c r="E1471" s="3" t="s">
        <v>8977</v>
      </c>
      <c r="F1471" s="3">
        <v>1</v>
      </c>
      <c r="G1471" s="4"/>
      <c r="H1471" s="3" t="s">
        <v>1297</v>
      </c>
      <c r="I1471" s="3"/>
      <c r="J1471" s="3"/>
      <c r="K1471" s="4"/>
      <c r="L1471" s="4"/>
      <c r="M1471" s="4"/>
      <c r="T1471" s="4"/>
      <c r="V1471" s="3"/>
      <c r="W1471" s="4"/>
      <c r="X1471" s="5" t="s">
        <v>1298</v>
      </c>
      <c r="Y1471" s="5"/>
      <c r="Z1471" s="3">
        <v>1</v>
      </c>
      <c r="AA1471" s="4"/>
      <c r="AB1471" s="4"/>
      <c r="AE1471" s="3"/>
      <c r="AF1471" s="3"/>
      <c r="AG1471" s="3"/>
      <c r="AH1471" s="4"/>
      <c r="AI1471" s="4"/>
      <c r="AJ1471" s="4"/>
      <c r="AK1471" s="3"/>
      <c r="AL1471" s="3"/>
      <c r="AM1471" s="3"/>
      <c r="AN1471" s="3"/>
      <c r="AO1471" s="4"/>
      <c r="AP1471" s="4"/>
      <c r="AQ1471" s="4"/>
      <c r="AR1471" s="4"/>
      <c r="AS1471" s="4"/>
      <c r="AT1471" s="4"/>
      <c r="AU1471" s="4"/>
      <c r="AV1471" s="4"/>
      <c r="AW1471" s="4"/>
      <c r="AX1471" s="4"/>
      <c r="AY1471" s="4"/>
      <c r="AZ1471" s="4"/>
      <c r="BA1471" s="3"/>
      <c r="BB1471" s="4"/>
      <c r="BC1471" s="3"/>
      <c r="BD1471" s="3"/>
      <c r="BE1471" s="3"/>
      <c r="BF1471" s="4"/>
      <c r="BG1471" s="3"/>
      <c r="BH1471" s="3"/>
      <c r="BI1471" s="4"/>
      <c r="BJ1471" s="4"/>
      <c r="BK1471" s="4"/>
      <c r="BL1471" s="4"/>
      <c r="BM1471" s="4"/>
      <c r="BN1471" s="4"/>
      <c r="BO1471" s="4"/>
      <c r="BP1471" s="4"/>
      <c r="BQ1471" s="4"/>
      <c r="BR1471" s="4"/>
      <c r="BS1471" s="4"/>
      <c r="BT1471" s="4"/>
      <c r="BU1471" s="4"/>
      <c r="BV1471" s="4"/>
      <c r="BW1471" s="4"/>
      <c r="BX1471" s="4"/>
      <c r="BY1471" s="4"/>
      <c r="BZ1471" s="4"/>
      <c r="CA1471" s="4"/>
      <c r="CB1471" s="4"/>
      <c r="CC1471" s="4"/>
      <c r="CD1471" s="4"/>
      <c r="CE1471" s="4"/>
      <c r="CF1471" s="4"/>
      <c r="CG1471" s="4"/>
      <c r="CH1471" s="4"/>
      <c r="CI1471" s="4"/>
      <c r="CJ1471" s="4"/>
      <c r="CK1471" s="4"/>
      <c r="CL1471" s="4"/>
      <c r="CM1471" s="4"/>
      <c r="CN1471" s="4"/>
      <c r="CO1471" s="4"/>
      <c r="CP1471" s="4"/>
      <c r="CQ1471" s="4"/>
      <c r="CR1471" s="4"/>
      <c r="CS1471" s="4"/>
      <c r="CT1471" s="4"/>
      <c r="CU1471" s="4"/>
      <c r="CV1471" s="4"/>
      <c r="CW1471" s="4"/>
      <c r="CX1471" s="4"/>
      <c r="CY1471" s="4"/>
      <c r="CZ1471" s="3"/>
      <c r="DA1471" s="3"/>
      <c r="DB1471" s="8"/>
      <c r="DC1471" s="4"/>
      <c r="DD1471" s="4"/>
      <c r="DE1471" s="4"/>
      <c r="DF1471" s="4"/>
      <c r="DG1471" s="8"/>
      <c r="DH1471" s="8"/>
      <c r="DI1471" s="8"/>
      <c r="DJ1471" s="8"/>
      <c r="DK1471" s="4"/>
      <c r="DL1471" s="4"/>
      <c r="DM1471" s="4"/>
      <c r="DN1471" s="4"/>
      <c r="DO1471" s="4"/>
      <c r="DP1471" s="4"/>
      <c r="DQ1471" s="4"/>
      <c r="DR1471" s="4"/>
      <c r="DS1471" s="4"/>
      <c r="DT1471" s="4"/>
      <c r="DU1471" s="4"/>
      <c r="DV1471" s="4"/>
      <c r="DW1471" s="4"/>
      <c r="DX1471" s="4"/>
      <c r="DY1471" s="4"/>
      <c r="DZ1471" s="4"/>
      <c r="EA1471" s="4"/>
      <c r="EB1471" s="4"/>
      <c r="EC1471" s="4"/>
      <c r="ED1471" s="4"/>
      <c r="EE1471" s="8"/>
      <c r="EF1471" s="8"/>
      <c r="EG1471" s="8"/>
      <c r="EH1471" s="8"/>
      <c r="EI1471" s="8"/>
      <c r="EJ1471" s="8"/>
      <c r="EK1471" s="4"/>
      <c r="EL1471" s="4"/>
      <c r="EM1471" s="4"/>
    </row>
    <row r="1472" spans="1:149" hidden="1">
      <c r="A1472" s="11" t="s">
        <v>9940</v>
      </c>
      <c r="B1472" s="3" t="s">
        <v>8373</v>
      </c>
      <c r="C1472" s="3">
        <v>2013</v>
      </c>
      <c r="D1472" s="3" t="s">
        <v>8978</v>
      </c>
      <c r="E1472" s="3" t="s">
        <v>8979</v>
      </c>
      <c r="F1472" s="3">
        <v>1</v>
      </c>
      <c r="G1472" s="3"/>
      <c r="H1472" s="3" t="s">
        <v>8983</v>
      </c>
      <c r="I1472" s="3"/>
      <c r="J1472" s="3"/>
      <c r="K1472" s="3" t="s">
        <v>291</v>
      </c>
      <c r="L1472" s="4"/>
      <c r="M1472" s="3" t="s">
        <v>8980</v>
      </c>
      <c r="T1472" s="3" t="s">
        <v>8981</v>
      </c>
      <c r="V1472" s="3"/>
      <c r="W1472" s="4"/>
      <c r="X1472" s="5" t="s">
        <v>8982</v>
      </c>
      <c r="Y1472" s="5"/>
      <c r="Z1472" s="3">
        <v>1</v>
      </c>
      <c r="AA1472" s="4"/>
      <c r="AB1472" s="4"/>
      <c r="AE1472" s="3"/>
      <c r="AF1472" s="3"/>
      <c r="AG1472" s="4"/>
      <c r="AH1472" s="4"/>
      <c r="AI1472" s="4"/>
      <c r="AJ1472" s="4"/>
      <c r="AK1472" s="3"/>
      <c r="AL1472" s="3"/>
      <c r="AM1472" s="3"/>
      <c r="AN1472" s="3"/>
      <c r="AO1472" s="4"/>
      <c r="AP1472" s="3"/>
      <c r="AQ1472" s="4"/>
      <c r="AR1472" s="3"/>
      <c r="AS1472" s="3"/>
      <c r="AT1472" s="4"/>
      <c r="AU1472" s="3"/>
      <c r="AV1472" s="4"/>
      <c r="AW1472" s="3"/>
      <c r="AX1472" s="4"/>
      <c r="AY1472" s="4"/>
      <c r="AZ1472" s="4"/>
      <c r="BA1472" s="4"/>
      <c r="BB1472" s="4"/>
      <c r="BC1472" s="4"/>
      <c r="BD1472" s="4"/>
      <c r="BE1472" s="3"/>
      <c r="BF1472" s="3"/>
      <c r="BG1472" s="3"/>
      <c r="BH1472" s="4"/>
      <c r="BI1472" s="3"/>
      <c r="BJ1472" s="4"/>
      <c r="BK1472" s="4"/>
      <c r="BL1472" s="3"/>
      <c r="BM1472" s="4"/>
      <c r="BN1472" s="4"/>
      <c r="BO1472" s="4"/>
      <c r="BP1472" s="4"/>
      <c r="BQ1472" s="4"/>
      <c r="BR1472" s="4"/>
      <c r="BS1472" s="4"/>
      <c r="BT1472" s="4"/>
      <c r="BU1472" s="4"/>
      <c r="BV1472" s="4"/>
      <c r="BW1472" s="4"/>
      <c r="BX1472" s="4"/>
      <c r="BY1472" s="4"/>
      <c r="BZ1472" s="4"/>
      <c r="CA1472" s="4"/>
      <c r="CB1472" s="4"/>
      <c r="CC1472" s="4"/>
      <c r="CD1472" s="4"/>
      <c r="CE1472" s="4"/>
      <c r="CF1472" s="4"/>
      <c r="CG1472" s="4"/>
      <c r="CH1472" s="4"/>
      <c r="CI1472" s="4"/>
      <c r="CJ1472" s="4"/>
      <c r="CK1472" s="4"/>
      <c r="CL1472" s="4"/>
      <c r="CM1472" s="4"/>
      <c r="CN1472" s="4"/>
      <c r="CO1472" s="4"/>
      <c r="CP1472" s="4"/>
      <c r="CQ1472" s="4"/>
      <c r="CR1472" s="4"/>
      <c r="CS1472" s="4"/>
      <c r="CT1472" s="4"/>
      <c r="CU1472" s="4"/>
      <c r="CV1472" s="4"/>
      <c r="CW1472" s="4"/>
      <c r="CX1472" s="4"/>
      <c r="CY1472" s="4"/>
      <c r="CZ1472" s="3"/>
      <c r="DA1472" s="3"/>
      <c r="DB1472" s="8"/>
      <c r="DC1472" s="4"/>
      <c r="DD1472" s="4"/>
      <c r="DE1472" s="4"/>
      <c r="DF1472" s="4"/>
      <c r="DG1472" s="8"/>
      <c r="DH1472" s="8"/>
      <c r="DI1472" s="8"/>
      <c r="DJ1472" s="8"/>
      <c r="DK1472" s="4"/>
      <c r="DL1472" s="4"/>
      <c r="DM1472" s="4"/>
      <c r="DN1472" s="4"/>
      <c r="DO1472" s="4"/>
      <c r="DP1472" s="4"/>
      <c r="DQ1472" s="4"/>
      <c r="DR1472" s="4"/>
      <c r="DS1472" s="4"/>
      <c r="DT1472" s="4"/>
      <c r="DU1472" s="4"/>
      <c r="DV1472" s="4"/>
      <c r="DW1472" s="4"/>
      <c r="DX1472" s="4"/>
      <c r="DY1472" s="4"/>
      <c r="DZ1472" s="4"/>
      <c r="EA1472" s="4"/>
      <c r="EB1472" s="4"/>
      <c r="EC1472" s="4"/>
      <c r="ED1472" s="4"/>
      <c r="EE1472" s="8"/>
      <c r="EF1472" s="8"/>
      <c r="EG1472" s="8"/>
      <c r="EH1472" s="8"/>
      <c r="EI1472" s="8"/>
      <c r="EJ1472" s="8"/>
      <c r="EK1472" s="4"/>
      <c r="EL1472" s="4"/>
      <c r="EM1472" s="4"/>
    </row>
    <row r="1473" spans="1:151" hidden="1">
      <c r="A1473" s="11" t="s">
        <v>9940</v>
      </c>
      <c r="B1473" s="3" t="s">
        <v>8379</v>
      </c>
      <c r="C1473" s="3">
        <v>2000</v>
      </c>
      <c r="D1473" s="3" t="s">
        <v>8984</v>
      </c>
      <c r="E1473" s="3" t="s">
        <v>8985</v>
      </c>
      <c r="F1473" s="3">
        <v>1</v>
      </c>
      <c r="G1473" s="4"/>
      <c r="H1473" s="3" t="s">
        <v>8987</v>
      </c>
      <c r="I1473" s="3"/>
      <c r="J1473" s="3"/>
      <c r="K1473" s="4"/>
      <c r="L1473" s="4"/>
      <c r="M1473" s="4"/>
      <c r="T1473" s="4"/>
      <c r="V1473" s="3"/>
      <c r="W1473" s="3"/>
      <c r="X1473" s="5" t="s">
        <v>8986</v>
      </c>
      <c r="Y1473" s="5"/>
      <c r="Z1473" s="3">
        <v>1</v>
      </c>
      <c r="AA1473" s="4"/>
      <c r="AB1473" s="3"/>
      <c r="AE1473" s="3"/>
      <c r="AF1473" s="3"/>
      <c r="AG1473" s="3"/>
      <c r="AH1473" s="4"/>
      <c r="AI1473" s="4"/>
      <c r="AJ1473" s="4"/>
      <c r="AK1473" s="3"/>
      <c r="AL1473" s="3"/>
      <c r="AM1473" s="3"/>
      <c r="AN1473" s="3"/>
      <c r="AO1473" s="4"/>
      <c r="AP1473" s="4"/>
      <c r="AQ1473" s="3"/>
      <c r="AR1473" s="4"/>
      <c r="AS1473" s="4"/>
      <c r="AT1473" s="4"/>
      <c r="AU1473" s="4"/>
      <c r="AV1473" s="4"/>
      <c r="AW1473" s="4"/>
      <c r="AX1473" s="4"/>
      <c r="AY1473" s="4"/>
      <c r="AZ1473" s="4"/>
      <c r="BA1473" s="3"/>
      <c r="BB1473" s="4"/>
      <c r="BC1473" s="3"/>
      <c r="BD1473" s="3"/>
      <c r="BE1473" s="3"/>
      <c r="BF1473" s="4"/>
      <c r="BG1473" s="3"/>
      <c r="BH1473" s="3"/>
      <c r="BI1473" s="4"/>
      <c r="BJ1473" s="4"/>
      <c r="BK1473" s="4"/>
      <c r="BL1473" s="4"/>
      <c r="BM1473" s="4"/>
      <c r="BN1473" s="4"/>
      <c r="BO1473" s="4"/>
      <c r="BP1473" s="4"/>
      <c r="BQ1473" s="4"/>
      <c r="BR1473" s="4"/>
      <c r="BS1473" s="4"/>
      <c r="BT1473" s="4"/>
      <c r="BU1473" s="4"/>
      <c r="BV1473" s="4"/>
      <c r="BW1473" s="4"/>
      <c r="BX1473" s="4"/>
      <c r="BY1473" s="4"/>
      <c r="BZ1473" s="4"/>
      <c r="CA1473" s="4"/>
      <c r="CB1473" s="4"/>
      <c r="CC1473" s="4"/>
      <c r="CD1473" s="4"/>
      <c r="CE1473" s="4"/>
      <c r="CF1473" s="4"/>
      <c r="CG1473" s="4"/>
      <c r="CH1473" s="4"/>
      <c r="CI1473" s="4"/>
      <c r="CJ1473" s="4"/>
      <c r="CK1473" s="4"/>
      <c r="CL1473" s="4"/>
      <c r="CM1473" s="4"/>
      <c r="CN1473" s="4"/>
      <c r="CO1473" s="4"/>
      <c r="CP1473" s="4"/>
      <c r="CQ1473" s="4"/>
      <c r="CR1473" s="4"/>
      <c r="CS1473" s="4"/>
      <c r="CT1473" s="4"/>
      <c r="CU1473" s="3"/>
      <c r="CV1473" s="3"/>
      <c r="CW1473" s="3"/>
      <c r="CX1473" s="4"/>
      <c r="CY1473" s="4"/>
      <c r="CZ1473" s="4"/>
      <c r="DA1473" s="4"/>
      <c r="DB1473" s="8"/>
      <c r="DC1473" s="8"/>
      <c r="DD1473" s="8"/>
      <c r="DE1473" s="8"/>
      <c r="DF1473" s="4"/>
      <c r="DG1473" s="4"/>
      <c r="DH1473" s="4"/>
      <c r="DI1473" s="4"/>
      <c r="DJ1473" s="8"/>
      <c r="DK1473" s="4"/>
      <c r="DL1473" s="4"/>
      <c r="DM1473" s="4"/>
      <c r="DN1473" s="4"/>
      <c r="DO1473" s="4"/>
      <c r="DP1473" s="4"/>
      <c r="DQ1473" s="4"/>
      <c r="DR1473" s="4"/>
      <c r="DS1473" s="4"/>
      <c r="DT1473" s="4"/>
      <c r="DU1473" s="4"/>
      <c r="DV1473" s="4"/>
      <c r="DW1473" s="4"/>
      <c r="DX1473" s="4"/>
      <c r="DY1473" s="4"/>
      <c r="DZ1473" s="8"/>
      <c r="EA1473" s="8"/>
      <c r="EB1473" s="8"/>
      <c r="EC1473" s="8"/>
      <c r="ED1473" s="8"/>
      <c r="EE1473" s="8"/>
      <c r="EF1473" s="4"/>
      <c r="EG1473" s="4"/>
      <c r="EH1473" s="3"/>
    </row>
    <row r="1474" spans="1:151" hidden="1">
      <c r="A1474" s="11" t="s">
        <v>9940</v>
      </c>
      <c r="B1474" s="3" t="s">
        <v>8373</v>
      </c>
      <c r="C1474" s="3">
        <v>2014</v>
      </c>
      <c r="D1474" s="3" t="s">
        <v>9670</v>
      </c>
      <c r="E1474" s="3" t="s">
        <v>9671</v>
      </c>
      <c r="F1474" s="3">
        <v>1</v>
      </c>
      <c r="G1474" s="3"/>
      <c r="H1474" s="3" t="s">
        <v>9672</v>
      </c>
      <c r="I1474" s="3"/>
      <c r="J1474" s="3"/>
      <c r="K1474" s="3" t="s">
        <v>132</v>
      </c>
      <c r="L1474" s="4"/>
      <c r="M1474" s="3" t="s">
        <v>8382</v>
      </c>
      <c r="T1474" s="3" t="s">
        <v>7388</v>
      </c>
      <c r="V1474" s="3"/>
      <c r="W1474" s="3"/>
      <c r="X1474" s="5" t="s">
        <v>7391</v>
      </c>
      <c r="Y1474" s="5"/>
      <c r="Z1474" s="3">
        <v>0</v>
      </c>
      <c r="AA1474" s="3" t="s">
        <v>9249</v>
      </c>
      <c r="AB1474" s="4"/>
      <c r="AE1474" s="3"/>
      <c r="AF1474" s="4"/>
      <c r="AG1474" s="4"/>
      <c r="AH1474" s="4"/>
      <c r="AI1474" s="4"/>
      <c r="AJ1474" s="4"/>
      <c r="AK1474" s="3"/>
      <c r="AL1474" s="3"/>
      <c r="AM1474" s="3"/>
      <c r="AN1474" s="3"/>
      <c r="AO1474" s="4"/>
      <c r="AP1474" s="3"/>
      <c r="AQ1474" s="4"/>
      <c r="AR1474" s="4"/>
      <c r="AS1474" s="3"/>
      <c r="AT1474" s="4"/>
      <c r="AU1474" s="3"/>
      <c r="AV1474" s="4"/>
      <c r="AW1474" s="4"/>
      <c r="AX1474" s="4"/>
      <c r="AY1474" s="4"/>
      <c r="AZ1474" s="4"/>
      <c r="BA1474" s="4"/>
      <c r="BB1474" s="4"/>
      <c r="BC1474" s="4"/>
      <c r="BD1474" s="4"/>
      <c r="BE1474" s="4"/>
      <c r="BF1474" s="3"/>
      <c r="BG1474" s="3"/>
      <c r="BH1474" s="3"/>
      <c r="BI1474" s="4"/>
      <c r="BJ1474" s="3"/>
      <c r="BK1474" s="4"/>
      <c r="BL1474" s="4"/>
      <c r="BM1474" s="3"/>
      <c r="BN1474" s="4"/>
      <c r="BO1474" s="4"/>
      <c r="BP1474" s="4"/>
      <c r="BQ1474" s="4"/>
      <c r="BR1474" s="4"/>
      <c r="BS1474" s="4"/>
      <c r="BT1474" s="4"/>
      <c r="BU1474" s="4"/>
      <c r="BV1474" s="4"/>
      <c r="BW1474" s="4"/>
      <c r="BX1474" s="4"/>
      <c r="BY1474" s="4"/>
      <c r="BZ1474" s="4"/>
      <c r="CA1474" s="4"/>
      <c r="CB1474" s="4"/>
      <c r="CC1474" s="4"/>
      <c r="CD1474" s="4"/>
      <c r="CE1474" s="4"/>
      <c r="CF1474" s="4"/>
      <c r="CG1474" s="4"/>
      <c r="CH1474" s="4"/>
      <c r="CI1474" s="4"/>
      <c r="CJ1474" s="4"/>
      <c r="CK1474" s="4"/>
      <c r="CL1474" s="4"/>
      <c r="CM1474" s="4"/>
      <c r="CN1474" s="4"/>
      <c r="CO1474" s="4"/>
      <c r="CP1474" s="4"/>
      <c r="CQ1474" s="4"/>
      <c r="CR1474" s="4"/>
      <c r="CS1474" s="4"/>
      <c r="CT1474" s="4"/>
      <c r="CU1474" s="4"/>
      <c r="CV1474" s="4"/>
      <c r="CW1474" s="4"/>
      <c r="CX1474" s="3"/>
      <c r="CY1474" s="3"/>
      <c r="CZ1474" s="4"/>
      <c r="DA1474" s="4"/>
      <c r="DB1474" s="4"/>
      <c r="DC1474" s="4"/>
      <c r="DD1474" s="4"/>
      <c r="DE1474" s="4"/>
      <c r="DF1474" s="4"/>
      <c r="DG1474" s="4"/>
      <c r="DH1474" s="4"/>
      <c r="DI1474" s="4"/>
      <c r="DJ1474" s="4"/>
      <c r="DK1474" s="4"/>
      <c r="DL1474" s="4"/>
      <c r="DM1474" s="4"/>
      <c r="DN1474" s="4"/>
      <c r="DO1474" s="4"/>
      <c r="DP1474" s="4"/>
      <c r="DQ1474" s="4"/>
      <c r="DR1474" s="4"/>
      <c r="DS1474" s="4"/>
      <c r="DT1474" s="4"/>
      <c r="DU1474" s="4"/>
      <c r="DV1474" s="4"/>
      <c r="DW1474" s="4"/>
      <c r="DX1474" s="4"/>
      <c r="DY1474" s="4"/>
      <c r="DZ1474" s="4"/>
      <c r="EA1474" s="4"/>
      <c r="EB1474" s="4"/>
      <c r="EC1474" s="4"/>
      <c r="ED1474" s="4"/>
      <c r="EE1474" s="4"/>
      <c r="EF1474" s="4"/>
      <c r="EG1474" s="4"/>
      <c r="EH1474" s="4"/>
      <c r="EI1474" s="4"/>
      <c r="EJ1474" s="4"/>
      <c r="EK1474" s="4"/>
    </row>
    <row r="1475" spans="1:151" hidden="1">
      <c r="A1475" s="11" t="s">
        <v>9940</v>
      </c>
      <c r="B1475" s="3" t="s">
        <v>8373</v>
      </c>
      <c r="C1475" s="3">
        <v>2016</v>
      </c>
      <c r="D1475" s="3" t="s">
        <v>8988</v>
      </c>
      <c r="E1475" s="3" t="s">
        <v>8989</v>
      </c>
      <c r="F1475" s="3">
        <v>1</v>
      </c>
      <c r="G1475" s="3"/>
      <c r="H1475" s="3" t="s">
        <v>8990</v>
      </c>
      <c r="I1475" s="3"/>
      <c r="J1475" s="3"/>
      <c r="K1475" s="3" t="s">
        <v>132</v>
      </c>
      <c r="L1475" s="4"/>
      <c r="M1475" s="3" t="s">
        <v>8382</v>
      </c>
      <c r="T1475" s="3" t="s">
        <v>7745</v>
      </c>
      <c r="V1475" s="3"/>
      <c r="W1475" s="3"/>
      <c r="X1475" s="5" t="s">
        <v>7748</v>
      </c>
      <c r="Y1475" s="5"/>
      <c r="Z1475" s="3">
        <v>1</v>
      </c>
      <c r="AA1475" s="4"/>
      <c r="AB1475" s="4"/>
      <c r="AE1475" s="3"/>
      <c r="AF1475" s="3"/>
      <c r="AG1475" s="4"/>
      <c r="AH1475" s="4"/>
      <c r="AI1475" s="4"/>
      <c r="AJ1475" s="4"/>
      <c r="AK1475" s="3"/>
      <c r="AL1475" s="3"/>
      <c r="AM1475" s="3"/>
      <c r="AN1475" s="3"/>
      <c r="AO1475" s="4"/>
      <c r="AP1475" s="3"/>
      <c r="AQ1475" s="4"/>
      <c r="AR1475" s="4"/>
      <c r="AS1475" s="3"/>
      <c r="AT1475" s="4"/>
      <c r="AU1475" s="3"/>
      <c r="AV1475" s="4"/>
      <c r="AW1475" s="4"/>
      <c r="AX1475" s="4"/>
      <c r="AY1475" s="4"/>
      <c r="AZ1475" s="4"/>
      <c r="BA1475" s="4"/>
      <c r="BB1475" s="4"/>
      <c r="BC1475" s="4"/>
      <c r="BD1475" s="4"/>
      <c r="BE1475" s="4"/>
      <c r="BF1475" s="3"/>
      <c r="BG1475" s="3"/>
      <c r="BH1475" s="3"/>
      <c r="BI1475" s="4"/>
      <c r="BJ1475" s="3"/>
      <c r="BK1475" s="4"/>
      <c r="BL1475" s="4"/>
      <c r="BM1475" s="3"/>
      <c r="BN1475" s="4"/>
      <c r="BO1475" s="4"/>
      <c r="BP1475" s="4"/>
      <c r="BQ1475" s="4"/>
      <c r="BR1475" s="4"/>
      <c r="BS1475" s="4"/>
      <c r="BT1475" s="4"/>
      <c r="BU1475" s="4"/>
      <c r="BV1475" s="4"/>
      <c r="BW1475" s="4"/>
      <c r="BX1475" s="4"/>
      <c r="BY1475" s="4"/>
      <c r="BZ1475" s="4"/>
      <c r="CA1475" s="4"/>
      <c r="CB1475" s="4"/>
      <c r="CC1475" s="4"/>
      <c r="CD1475" s="4"/>
      <c r="CE1475" s="4"/>
      <c r="CF1475" s="4"/>
      <c r="CG1475" s="4"/>
      <c r="CH1475" s="4"/>
      <c r="CI1475" s="4"/>
      <c r="CJ1475" s="4"/>
      <c r="CK1475" s="4"/>
      <c r="CL1475" s="4"/>
      <c r="CM1475" s="4"/>
      <c r="CN1475" s="4"/>
      <c r="CO1475" s="4"/>
      <c r="CP1475" s="4"/>
      <c r="CQ1475" s="4"/>
      <c r="CR1475" s="4"/>
      <c r="CS1475" s="4"/>
      <c r="CT1475" s="4"/>
      <c r="CU1475" s="4"/>
      <c r="CV1475" s="4"/>
      <c r="CW1475" s="4"/>
      <c r="CX1475" s="4"/>
      <c r="CY1475" s="4"/>
      <c r="CZ1475" s="4"/>
      <c r="DA1475" s="4"/>
      <c r="DB1475" s="4"/>
      <c r="DC1475" s="4"/>
      <c r="DD1475" s="4"/>
      <c r="DE1475" s="4"/>
      <c r="DF1475" s="3"/>
      <c r="DG1475" s="3"/>
      <c r="DH1475" s="8"/>
      <c r="DI1475" s="4"/>
      <c r="DJ1475" s="4"/>
      <c r="DK1475" s="4"/>
      <c r="DL1475" s="4"/>
      <c r="DM1475" s="8"/>
      <c r="DN1475" s="8"/>
      <c r="DO1475" s="8"/>
      <c r="DP1475" s="8"/>
      <c r="DQ1475" s="4"/>
      <c r="DR1475" s="4"/>
      <c r="DS1475" s="4"/>
      <c r="DT1475" s="4"/>
      <c r="DU1475" s="4"/>
      <c r="DV1475" s="4"/>
      <c r="DW1475" s="4"/>
      <c r="DX1475" s="4"/>
      <c r="DY1475" s="4"/>
      <c r="DZ1475" s="4"/>
      <c r="EA1475" s="4"/>
      <c r="EB1475" s="4"/>
      <c r="EC1475" s="4"/>
      <c r="ED1475" s="4"/>
      <c r="EE1475" s="4"/>
      <c r="EF1475" s="4"/>
      <c r="EG1475" s="4"/>
      <c r="EH1475" s="4"/>
      <c r="EI1475" s="4"/>
      <c r="EJ1475" s="4"/>
      <c r="EK1475" s="8"/>
      <c r="EL1475" s="8"/>
      <c r="EM1475" s="8"/>
      <c r="EN1475" s="8"/>
      <c r="EO1475" s="8"/>
      <c r="EP1475" s="8"/>
      <c r="EQ1475" s="4"/>
      <c r="ER1475" s="4"/>
      <c r="ES1475" s="4"/>
    </row>
    <row r="1476" spans="1:151" hidden="1">
      <c r="A1476" s="11" t="s">
        <v>9940</v>
      </c>
      <c r="B1476" s="3" t="s">
        <v>8379</v>
      </c>
      <c r="C1476" s="3">
        <v>2000</v>
      </c>
      <c r="D1476" s="3" t="s">
        <v>8991</v>
      </c>
      <c r="E1476" s="3" t="s">
        <v>8992</v>
      </c>
      <c r="F1476" s="3">
        <v>1</v>
      </c>
      <c r="G1476" s="4"/>
      <c r="H1476" s="3" t="s">
        <v>8994</v>
      </c>
      <c r="I1476" s="3"/>
      <c r="J1476" s="3"/>
      <c r="K1476" s="4"/>
      <c r="L1476" s="4"/>
      <c r="M1476" s="4"/>
      <c r="T1476" s="4"/>
      <c r="V1476" s="3"/>
      <c r="W1476" s="4"/>
      <c r="X1476" s="5" t="s">
        <v>8993</v>
      </c>
      <c r="Y1476" s="5"/>
      <c r="Z1476" s="3">
        <v>1</v>
      </c>
      <c r="AA1476" s="4"/>
      <c r="AB1476" s="4"/>
      <c r="AE1476" s="3"/>
      <c r="AF1476" s="3"/>
      <c r="AG1476" s="3"/>
      <c r="AH1476" s="4"/>
      <c r="AI1476" s="4"/>
      <c r="AJ1476" s="4"/>
      <c r="AK1476" s="3"/>
      <c r="AL1476" s="3"/>
      <c r="AM1476" s="3"/>
      <c r="AN1476" s="3"/>
      <c r="AO1476" s="4"/>
      <c r="AP1476" s="4"/>
      <c r="AQ1476" s="3"/>
      <c r="AR1476" s="4"/>
      <c r="AS1476" s="4"/>
      <c r="AT1476" s="4"/>
      <c r="AU1476" s="4"/>
      <c r="AV1476" s="4"/>
      <c r="AW1476" s="4"/>
      <c r="AX1476" s="4"/>
      <c r="AY1476" s="4"/>
      <c r="AZ1476" s="4"/>
      <c r="BA1476" s="3"/>
      <c r="BB1476" s="4"/>
      <c r="BC1476" s="3"/>
      <c r="BD1476" s="3"/>
      <c r="BE1476" s="3"/>
      <c r="BF1476" s="4"/>
      <c r="BG1476" s="3"/>
      <c r="BH1476" s="3"/>
      <c r="BI1476" s="4"/>
      <c r="BJ1476" s="4"/>
      <c r="BK1476" s="4"/>
      <c r="BL1476" s="4"/>
      <c r="BM1476" s="4"/>
      <c r="BN1476" s="4"/>
      <c r="BO1476" s="4"/>
      <c r="BP1476" s="4"/>
      <c r="BQ1476" s="4"/>
      <c r="BR1476" s="4"/>
      <c r="BS1476" s="4"/>
      <c r="BT1476" s="4"/>
      <c r="BU1476" s="4"/>
      <c r="BV1476" s="4"/>
      <c r="BW1476" s="4"/>
      <c r="BX1476" s="4"/>
      <c r="BY1476" s="4"/>
      <c r="BZ1476" s="4"/>
      <c r="CA1476" s="4"/>
      <c r="CB1476" s="4"/>
      <c r="CC1476" s="4"/>
      <c r="CD1476" s="4"/>
      <c r="CE1476" s="4"/>
      <c r="CF1476" s="4"/>
      <c r="CG1476" s="4"/>
      <c r="CH1476" s="4"/>
      <c r="CI1476" s="4"/>
      <c r="CJ1476" s="4"/>
      <c r="CK1476" s="4"/>
      <c r="CL1476" s="4"/>
      <c r="CM1476" s="4"/>
      <c r="CN1476" s="4"/>
      <c r="CO1476" s="4"/>
      <c r="CP1476" s="4"/>
      <c r="CQ1476" s="4"/>
      <c r="CR1476" s="4"/>
      <c r="CS1476" s="4"/>
      <c r="CT1476" s="4"/>
      <c r="CU1476" s="4"/>
      <c r="CV1476" s="4"/>
      <c r="CW1476" s="4"/>
      <c r="CX1476" s="4"/>
      <c r="CY1476" s="3"/>
      <c r="CZ1476" s="3"/>
      <c r="DA1476" s="3"/>
      <c r="DB1476" s="4"/>
      <c r="DC1476" s="4"/>
      <c r="DD1476" s="4"/>
      <c r="DE1476" s="17"/>
      <c r="DF1476" s="8"/>
      <c r="DG1476" s="8"/>
      <c r="DH1476" s="8"/>
      <c r="DI1476" s="8"/>
      <c r="DJ1476" s="4"/>
      <c r="DK1476" s="4"/>
      <c r="DL1476" s="4"/>
      <c r="DM1476" s="4"/>
      <c r="DN1476" s="4"/>
      <c r="DO1476" s="4"/>
      <c r="DP1476" s="4"/>
      <c r="DQ1476" s="4"/>
      <c r="DR1476" s="4"/>
      <c r="DS1476" s="4"/>
      <c r="DT1476" s="4"/>
      <c r="DU1476" s="4"/>
      <c r="DV1476" s="4"/>
      <c r="DW1476" s="4"/>
      <c r="DX1476" s="4"/>
      <c r="DY1476" s="4"/>
      <c r="DZ1476" s="4"/>
      <c r="EA1476" s="4"/>
      <c r="EB1476" s="4"/>
      <c r="EC1476" s="4"/>
      <c r="ED1476" s="3"/>
      <c r="EE1476" s="3"/>
      <c r="EF1476" s="3"/>
      <c r="EG1476" s="3"/>
      <c r="EH1476" s="3"/>
      <c r="EI1476" s="3"/>
      <c r="EJ1476" s="4"/>
      <c r="EK1476" s="4"/>
      <c r="EL1476" s="3"/>
    </row>
    <row r="1477" spans="1:151" hidden="1">
      <c r="A1477" s="11" t="s">
        <v>9940</v>
      </c>
      <c r="B1477" s="3" t="s">
        <v>8379</v>
      </c>
      <c r="C1477" s="3">
        <v>2015</v>
      </c>
      <c r="D1477" s="3" t="s">
        <v>8995</v>
      </c>
      <c r="E1477" s="3" t="s">
        <v>8996</v>
      </c>
      <c r="F1477" s="3">
        <v>1</v>
      </c>
      <c r="G1477" s="4"/>
      <c r="H1477" s="3" t="s">
        <v>8998</v>
      </c>
      <c r="I1477" s="3"/>
      <c r="J1477" s="3"/>
      <c r="K1477" s="4"/>
      <c r="L1477" s="4"/>
      <c r="M1477" s="4"/>
      <c r="T1477" s="4"/>
      <c r="V1477" s="3"/>
      <c r="W1477" s="4"/>
      <c r="X1477" s="5" t="s">
        <v>8997</v>
      </c>
      <c r="Y1477" s="5"/>
      <c r="Z1477" s="3">
        <v>1</v>
      </c>
      <c r="AA1477" s="4"/>
      <c r="AB1477" s="4"/>
      <c r="AE1477" s="3"/>
      <c r="AF1477" s="3"/>
      <c r="AG1477" s="3"/>
      <c r="AH1477" s="4"/>
      <c r="AI1477" s="4"/>
      <c r="AJ1477" s="4"/>
      <c r="AK1477" s="3"/>
      <c r="AL1477" s="3"/>
      <c r="AM1477" s="3"/>
      <c r="AN1477" s="3"/>
      <c r="AO1477" s="4"/>
      <c r="AP1477" s="4"/>
      <c r="AQ1477" s="4"/>
      <c r="AR1477" s="4"/>
      <c r="AS1477" s="4"/>
      <c r="AT1477" s="4"/>
      <c r="AU1477" s="4"/>
      <c r="AV1477" s="4"/>
      <c r="AW1477" s="4"/>
      <c r="AX1477" s="4"/>
      <c r="AY1477" s="4"/>
      <c r="AZ1477" s="4"/>
      <c r="BA1477" s="3"/>
      <c r="BB1477" s="4"/>
      <c r="BC1477" s="3"/>
      <c r="BD1477" s="3"/>
      <c r="BE1477" s="3"/>
      <c r="BF1477" s="4"/>
      <c r="BG1477" s="3"/>
      <c r="BH1477" s="3"/>
      <c r="BI1477" s="4"/>
      <c r="BJ1477" s="4"/>
      <c r="BK1477" s="4"/>
      <c r="BL1477" s="4"/>
      <c r="BM1477" s="4"/>
      <c r="BN1477" s="4"/>
      <c r="BO1477" s="4"/>
      <c r="BP1477" s="4"/>
      <c r="BQ1477" s="4"/>
      <c r="BR1477" s="4"/>
      <c r="BS1477" s="4"/>
      <c r="BT1477" s="4"/>
      <c r="BU1477" s="4"/>
      <c r="BV1477" s="4"/>
      <c r="BW1477" s="4"/>
      <c r="BX1477" s="4"/>
      <c r="BY1477" s="4"/>
      <c r="BZ1477" s="4"/>
      <c r="CA1477" s="4"/>
      <c r="CB1477" s="4"/>
      <c r="CC1477" s="4"/>
      <c r="CD1477" s="4"/>
      <c r="CE1477" s="4"/>
      <c r="CF1477" s="4"/>
      <c r="CG1477" s="4"/>
      <c r="CH1477" s="4"/>
      <c r="CI1477" s="4"/>
      <c r="CJ1477" s="4"/>
      <c r="CK1477" s="4"/>
      <c r="CL1477" s="4"/>
      <c r="CM1477" s="4"/>
      <c r="CN1477" s="4"/>
      <c r="CO1477" s="4"/>
      <c r="CP1477" s="4"/>
      <c r="CQ1477" s="4"/>
      <c r="CR1477" s="4"/>
      <c r="CS1477" s="4"/>
      <c r="CT1477" s="4"/>
      <c r="CU1477" s="4"/>
      <c r="CV1477" s="4"/>
      <c r="CW1477" s="4"/>
      <c r="CX1477" s="4"/>
      <c r="CY1477" s="3"/>
      <c r="CZ1477" s="3"/>
      <c r="DA1477" s="3"/>
      <c r="DB1477" s="4"/>
      <c r="DC1477" s="4"/>
      <c r="DD1477" s="4"/>
      <c r="DE1477" s="4"/>
      <c r="DF1477" s="3"/>
      <c r="DG1477" s="3"/>
      <c r="DH1477" s="3"/>
      <c r="DI1477" s="3"/>
      <c r="DJ1477" s="4"/>
      <c r="DK1477" s="4"/>
      <c r="DL1477" s="4"/>
      <c r="DM1477" s="4"/>
      <c r="DN1477" s="8"/>
      <c r="DO1477" s="4"/>
      <c r="DP1477" s="4"/>
      <c r="DQ1477" s="4"/>
      <c r="DR1477" s="4"/>
      <c r="DS1477" s="4"/>
      <c r="DT1477" s="4"/>
      <c r="DU1477" s="4"/>
      <c r="DV1477" s="4"/>
      <c r="DW1477" s="4"/>
      <c r="DX1477" s="4"/>
      <c r="DY1477" s="4"/>
      <c r="DZ1477" s="4"/>
      <c r="EA1477" s="4"/>
      <c r="EB1477" s="4"/>
      <c r="EC1477" s="4"/>
      <c r="ED1477" s="3"/>
      <c r="EE1477" s="3"/>
      <c r="EF1477" s="3"/>
      <c r="EG1477" s="3"/>
      <c r="EH1477" s="3"/>
      <c r="EI1477" s="3"/>
      <c r="EJ1477" s="4"/>
      <c r="EK1477" s="4"/>
      <c r="EL1477" s="3"/>
    </row>
    <row r="1478" spans="1:151" hidden="1">
      <c r="A1478" s="11" t="s">
        <v>9940</v>
      </c>
      <c r="B1478" s="3" t="s">
        <v>9323</v>
      </c>
      <c r="C1478" s="3">
        <v>2011</v>
      </c>
      <c r="D1478" s="3" t="s">
        <v>9673</v>
      </c>
      <c r="E1478" s="3" t="s">
        <v>9674</v>
      </c>
      <c r="F1478" s="3">
        <v>0</v>
      </c>
      <c r="G1478" s="3" t="s">
        <v>9237</v>
      </c>
      <c r="H1478" s="3" t="s">
        <v>9677</v>
      </c>
      <c r="I1478" s="3"/>
      <c r="J1478" s="3"/>
      <c r="K1478" s="4"/>
      <c r="L1478" s="3" t="s">
        <v>9675</v>
      </c>
      <c r="M1478" s="4"/>
      <c r="T1478" s="4"/>
      <c r="V1478" s="4"/>
      <c r="W1478" s="4"/>
      <c r="X1478" s="5" t="s">
        <v>9676</v>
      </c>
      <c r="Y1478" s="5"/>
      <c r="Z1478" s="4"/>
      <c r="AA1478" s="4"/>
      <c r="AB1478" s="4"/>
      <c r="AE1478" s="4"/>
      <c r="AF1478" s="4"/>
      <c r="AG1478" s="3"/>
      <c r="AH1478" s="3"/>
      <c r="AI1478" s="3"/>
      <c r="AJ1478" s="3"/>
      <c r="AK1478" s="4"/>
      <c r="AL1478" s="4"/>
      <c r="AM1478" s="4"/>
      <c r="AN1478" s="4"/>
      <c r="AO1478" s="4"/>
      <c r="AP1478" s="4"/>
      <c r="AQ1478" s="4"/>
      <c r="AR1478" s="4"/>
      <c r="AS1478" s="4"/>
      <c r="AT1478" s="4"/>
      <c r="AU1478" s="4"/>
      <c r="AV1478" s="4"/>
      <c r="AW1478" s="3"/>
      <c r="AX1478" s="3"/>
      <c r="AY1478" s="4"/>
      <c r="AZ1478" s="4"/>
      <c r="BA1478" s="3"/>
      <c r="BB1478" s="3"/>
      <c r="BC1478" s="3"/>
      <c r="BD1478" s="4"/>
      <c r="BE1478" s="3"/>
      <c r="BF1478" s="4"/>
      <c r="BG1478" s="4"/>
      <c r="BH1478" s="3"/>
      <c r="BI1478" s="4"/>
      <c r="BJ1478" s="4"/>
      <c r="BK1478" s="4"/>
      <c r="BL1478" s="4"/>
      <c r="BM1478" s="4"/>
      <c r="BN1478" s="4"/>
      <c r="BO1478" s="4"/>
      <c r="BP1478" s="4"/>
      <c r="BQ1478" s="4"/>
      <c r="BR1478" s="4"/>
      <c r="BS1478" s="4"/>
      <c r="BT1478" s="4"/>
      <c r="BU1478" s="4"/>
      <c r="BV1478" s="4"/>
      <c r="BW1478" s="4"/>
      <c r="BX1478" s="4"/>
      <c r="BY1478" s="4"/>
      <c r="BZ1478" s="4"/>
      <c r="CA1478" s="4"/>
      <c r="CB1478" s="4"/>
      <c r="CC1478" s="4"/>
      <c r="CD1478" s="4"/>
      <c r="CE1478" s="4"/>
      <c r="CF1478" s="4"/>
      <c r="CG1478" s="4"/>
      <c r="CH1478" s="4"/>
      <c r="CI1478" s="3"/>
      <c r="CJ1478" s="3"/>
      <c r="CK1478" s="4"/>
      <c r="CL1478" s="4"/>
      <c r="CM1478" s="4"/>
      <c r="CN1478" s="4"/>
      <c r="CO1478" s="4"/>
      <c r="CP1478" s="4"/>
      <c r="CQ1478" s="4"/>
      <c r="CR1478" s="4"/>
      <c r="CS1478" s="4"/>
      <c r="CT1478" s="4"/>
      <c r="CU1478" s="4"/>
      <c r="CV1478" s="4"/>
      <c r="CW1478" s="4"/>
      <c r="CX1478" s="4"/>
      <c r="CY1478" s="4"/>
      <c r="CZ1478" s="4"/>
      <c r="DA1478" s="4"/>
      <c r="DB1478" s="4"/>
      <c r="DC1478" s="4"/>
      <c r="DD1478" s="4"/>
      <c r="DE1478" s="4"/>
      <c r="DF1478" s="4"/>
      <c r="DG1478" s="4"/>
      <c r="DH1478" s="4"/>
      <c r="DI1478" s="4"/>
      <c r="DJ1478" s="4"/>
      <c r="DK1478" s="4"/>
      <c r="DL1478" s="4"/>
      <c r="DM1478" s="4"/>
      <c r="DN1478" s="4"/>
      <c r="DO1478" s="4"/>
      <c r="DP1478" s="4"/>
      <c r="DQ1478" s="4"/>
      <c r="DR1478" s="4"/>
      <c r="DS1478" s="4"/>
      <c r="DT1478" s="4"/>
      <c r="DU1478" s="4"/>
      <c r="DV1478" s="4"/>
    </row>
    <row r="1479" spans="1:151" hidden="1">
      <c r="A1479" s="11" t="s">
        <v>9940</v>
      </c>
      <c r="B1479" s="3" t="s">
        <v>8373</v>
      </c>
      <c r="C1479" s="3">
        <v>2016</v>
      </c>
      <c r="D1479" s="3" t="s">
        <v>2162</v>
      </c>
      <c r="E1479" s="3" t="s">
        <v>9678</v>
      </c>
      <c r="F1479" s="3">
        <v>0</v>
      </c>
      <c r="G1479" s="3" t="s">
        <v>9237</v>
      </c>
      <c r="H1479" s="3" t="s">
        <v>9679</v>
      </c>
      <c r="I1479" s="3"/>
      <c r="J1479" s="3"/>
      <c r="K1479" s="3" t="s">
        <v>2163</v>
      </c>
      <c r="L1479" s="4"/>
      <c r="M1479" s="3" t="s">
        <v>9222</v>
      </c>
      <c r="T1479" s="3" t="s">
        <v>2165</v>
      </c>
      <c r="V1479" s="4"/>
      <c r="W1479" s="4"/>
      <c r="X1479" s="5" t="s">
        <v>2168</v>
      </c>
      <c r="Y1479" s="5"/>
      <c r="Z1479" s="4"/>
      <c r="AA1479" s="4"/>
      <c r="AB1479" s="4"/>
      <c r="AE1479" s="4"/>
      <c r="AF1479" s="4"/>
      <c r="AG1479" s="3"/>
      <c r="AH1479" s="3"/>
      <c r="AI1479" s="3"/>
      <c r="AJ1479" s="3"/>
      <c r="AK1479" s="4"/>
      <c r="AL1479" s="3"/>
      <c r="AM1479" s="4"/>
      <c r="AN1479" s="4"/>
      <c r="AO1479" s="3"/>
      <c r="AP1479" s="4"/>
      <c r="AQ1479" s="3"/>
      <c r="AR1479" s="4"/>
      <c r="AS1479" s="4"/>
      <c r="AT1479" s="4"/>
      <c r="AU1479" s="4"/>
      <c r="AV1479" s="4"/>
      <c r="AW1479" s="4"/>
      <c r="AX1479" s="4"/>
      <c r="AY1479" s="4"/>
      <c r="AZ1479" s="4"/>
      <c r="BA1479" s="4"/>
      <c r="BB1479" s="3"/>
      <c r="BC1479" s="3"/>
      <c r="BD1479" s="3"/>
      <c r="BE1479" s="4"/>
      <c r="BF1479" s="3"/>
      <c r="BG1479" s="4"/>
      <c r="BH1479" s="4"/>
      <c r="BI1479" s="3"/>
      <c r="BJ1479" s="4"/>
      <c r="BK1479" s="4"/>
      <c r="BL1479" s="4"/>
      <c r="BM1479" s="4"/>
      <c r="BN1479" s="4"/>
      <c r="BO1479" s="4"/>
      <c r="BP1479" s="4"/>
      <c r="BQ1479" s="4"/>
      <c r="BR1479" s="4"/>
      <c r="BS1479" s="4"/>
      <c r="BT1479" s="4"/>
      <c r="BU1479" s="4"/>
      <c r="BV1479" s="4"/>
      <c r="BW1479" s="4"/>
      <c r="BX1479" s="4"/>
      <c r="BY1479" s="4"/>
      <c r="BZ1479" s="4"/>
      <c r="CA1479" s="4"/>
      <c r="CB1479" s="4"/>
      <c r="CC1479" s="4"/>
      <c r="CD1479" s="4"/>
      <c r="CE1479" s="4"/>
      <c r="CF1479" s="4"/>
      <c r="CG1479" s="4"/>
      <c r="CH1479" s="4"/>
      <c r="CI1479" s="4"/>
      <c r="CJ1479" s="4"/>
      <c r="CK1479" s="4"/>
      <c r="CL1479" s="4"/>
      <c r="CM1479" s="4"/>
      <c r="CN1479" s="4"/>
      <c r="CO1479" s="4"/>
      <c r="CP1479" s="4"/>
      <c r="CQ1479" s="4"/>
      <c r="CR1479" s="4"/>
      <c r="CS1479" s="4"/>
      <c r="CT1479" s="4"/>
      <c r="CU1479" s="4"/>
      <c r="CV1479" s="4"/>
      <c r="CW1479" s="4"/>
      <c r="CX1479" s="4"/>
      <c r="CY1479" s="3"/>
      <c r="CZ1479" s="3"/>
      <c r="DA1479" s="4"/>
      <c r="DB1479" s="4"/>
      <c r="DC1479" s="4"/>
      <c r="DD1479" s="4"/>
      <c r="DE1479" s="4"/>
      <c r="DF1479" s="4"/>
      <c r="DG1479" s="4"/>
      <c r="DH1479" s="4"/>
      <c r="DI1479" s="4"/>
      <c r="DJ1479" s="4"/>
      <c r="DK1479" s="4"/>
      <c r="DL1479" s="4"/>
      <c r="DM1479" s="4"/>
      <c r="DN1479" s="4"/>
      <c r="DO1479" s="4"/>
      <c r="DP1479" s="4"/>
      <c r="DQ1479" s="4"/>
      <c r="DR1479" s="4"/>
      <c r="DS1479" s="4"/>
      <c r="DT1479" s="4"/>
      <c r="DU1479" s="4"/>
      <c r="DV1479" s="4"/>
      <c r="DW1479" s="4"/>
      <c r="DX1479" s="4"/>
      <c r="DY1479" s="4"/>
      <c r="DZ1479" s="4"/>
      <c r="EA1479" s="4"/>
      <c r="EB1479" s="4"/>
      <c r="EC1479" s="4"/>
      <c r="ED1479" s="4"/>
      <c r="EE1479" s="4"/>
      <c r="EF1479" s="4"/>
      <c r="EG1479" s="4"/>
      <c r="EH1479" s="4"/>
      <c r="EI1479" s="4"/>
      <c r="EJ1479" s="4"/>
      <c r="EK1479" s="4"/>
      <c r="EL1479" s="4"/>
    </row>
    <row r="1480" spans="1:151" hidden="1">
      <c r="A1480" s="11" t="s">
        <v>9940</v>
      </c>
      <c r="B1480" s="3" t="s">
        <v>8379</v>
      </c>
      <c r="C1480" s="3">
        <v>1996</v>
      </c>
      <c r="D1480" s="3" t="s">
        <v>8999</v>
      </c>
      <c r="E1480" s="3" t="s">
        <v>9000</v>
      </c>
      <c r="F1480" s="3">
        <v>1</v>
      </c>
      <c r="G1480" s="4"/>
      <c r="H1480" s="3" t="s">
        <v>9002</v>
      </c>
      <c r="I1480" s="3"/>
      <c r="J1480" s="3"/>
      <c r="K1480" s="4"/>
      <c r="L1480" s="4"/>
      <c r="M1480" s="4"/>
      <c r="T1480" s="4"/>
      <c r="V1480" s="3"/>
      <c r="W1480" s="4"/>
      <c r="X1480" s="5" t="s">
        <v>9001</v>
      </c>
      <c r="Y1480" s="5"/>
      <c r="Z1480" s="3">
        <v>1</v>
      </c>
      <c r="AA1480" s="4"/>
      <c r="AB1480" s="4"/>
      <c r="AE1480" s="3"/>
      <c r="AF1480" s="3"/>
      <c r="AG1480" s="3"/>
      <c r="AH1480" s="4"/>
      <c r="AI1480" s="4"/>
      <c r="AJ1480" s="4"/>
      <c r="AK1480" s="3"/>
      <c r="AL1480" s="3"/>
      <c r="AM1480" s="3"/>
      <c r="AN1480" s="3"/>
      <c r="AO1480" s="4"/>
      <c r="AP1480" s="4"/>
      <c r="AQ1480" s="3"/>
      <c r="AR1480" s="4"/>
      <c r="AS1480" s="4"/>
      <c r="AT1480" s="4"/>
      <c r="AU1480" s="4"/>
      <c r="AV1480" s="4"/>
      <c r="AW1480" s="4"/>
      <c r="AX1480" s="4"/>
      <c r="AY1480" s="4"/>
      <c r="AZ1480" s="4"/>
      <c r="BA1480" s="3"/>
      <c r="BB1480" s="4"/>
      <c r="BC1480" s="3"/>
      <c r="BD1480" s="3"/>
      <c r="BE1480" s="3"/>
      <c r="BF1480" s="4"/>
      <c r="BG1480" s="3"/>
      <c r="BH1480" s="3"/>
      <c r="BI1480" s="4"/>
      <c r="BJ1480" s="4"/>
      <c r="BK1480" s="4"/>
      <c r="BL1480" s="4"/>
      <c r="BM1480" s="4"/>
      <c r="BN1480" s="4"/>
      <c r="BO1480" s="4"/>
      <c r="BP1480" s="4"/>
      <c r="BQ1480" s="4"/>
      <c r="BR1480" s="4"/>
      <c r="BS1480" s="4"/>
      <c r="BT1480" s="4"/>
      <c r="BU1480" s="4"/>
      <c r="BV1480" s="4"/>
      <c r="BW1480" s="4"/>
      <c r="BX1480" s="4"/>
      <c r="BY1480" s="4"/>
      <c r="BZ1480" s="4"/>
      <c r="CA1480" s="4"/>
      <c r="CB1480" s="4"/>
      <c r="CC1480" s="4"/>
      <c r="CD1480" s="4"/>
      <c r="CE1480" s="4"/>
      <c r="CF1480" s="4"/>
      <c r="CG1480" s="4"/>
      <c r="CH1480" s="4"/>
      <c r="CI1480" s="4"/>
      <c r="CJ1480" s="4"/>
      <c r="CK1480" s="4"/>
      <c r="CL1480" s="4"/>
      <c r="CM1480" s="4"/>
      <c r="CN1480" s="4"/>
      <c r="CO1480" s="4"/>
      <c r="CP1480" s="4"/>
      <c r="CQ1480" s="4"/>
      <c r="CR1480" s="4"/>
      <c r="CS1480" s="4"/>
      <c r="CT1480" s="4"/>
      <c r="CU1480" s="4"/>
      <c r="CV1480" s="4"/>
      <c r="CW1480" s="4"/>
      <c r="CX1480" s="4"/>
      <c r="CY1480" s="3"/>
      <c r="CZ1480" s="3"/>
      <c r="DA1480" s="3"/>
      <c r="DB1480" s="4"/>
      <c r="DC1480" s="4"/>
      <c r="DD1480" s="4"/>
      <c r="DE1480" s="4"/>
      <c r="DF1480" s="3"/>
      <c r="DG1480" s="3"/>
      <c r="DH1480" s="3"/>
      <c r="DI1480" s="3"/>
      <c r="DJ1480" s="4"/>
      <c r="DK1480" s="4"/>
      <c r="DL1480" s="4"/>
      <c r="DM1480" s="4"/>
      <c r="DN1480" s="8"/>
      <c r="DO1480" s="4"/>
      <c r="DP1480" s="4"/>
      <c r="DQ1480" s="4"/>
      <c r="DR1480" s="4"/>
      <c r="DS1480" s="4"/>
      <c r="DT1480" s="4"/>
      <c r="DU1480" s="4"/>
      <c r="DV1480" s="4"/>
      <c r="DW1480" s="4"/>
      <c r="DX1480" s="4"/>
      <c r="DY1480" s="4"/>
      <c r="DZ1480" s="4"/>
      <c r="EA1480" s="4"/>
      <c r="EB1480" s="4"/>
      <c r="EC1480" s="4"/>
      <c r="ED1480" s="3"/>
      <c r="EE1480" s="3"/>
      <c r="EF1480" s="3"/>
      <c r="EG1480" s="3"/>
      <c r="EH1480" s="3"/>
      <c r="EI1480" s="3"/>
      <c r="EJ1480" s="4"/>
      <c r="EK1480" s="4"/>
      <c r="EL1480" s="3"/>
    </row>
    <row r="1481" spans="1:151" hidden="1">
      <c r="A1481" s="11" t="s">
        <v>9940</v>
      </c>
      <c r="B1481" s="3" t="s">
        <v>8373</v>
      </c>
      <c r="C1481" s="3">
        <v>2014</v>
      </c>
      <c r="D1481" s="3" t="s">
        <v>6660</v>
      </c>
      <c r="E1481" s="3" t="s">
        <v>9003</v>
      </c>
      <c r="F1481" s="3">
        <v>1</v>
      </c>
      <c r="G1481" s="3"/>
      <c r="H1481" s="3" t="s">
        <v>6664</v>
      </c>
      <c r="I1481" s="3"/>
      <c r="J1481" s="3"/>
      <c r="K1481" s="3" t="s">
        <v>40</v>
      </c>
      <c r="L1481" s="4"/>
      <c r="M1481" s="3" t="s">
        <v>8500</v>
      </c>
      <c r="T1481" s="3" t="s">
        <v>6662</v>
      </c>
      <c r="V1481" s="3"/>
      <c r="W1481" s="3"/>
      <c r="X1481" s="5" t="s">
        <v>6665</v>
      </c>
      <c r="Y1481" s="5"/>
      <c r="Z1481" s="3">
        <v>1</v>
      </c>
      <c r="AA1481" s="4"/>
      <c r="AB1481" s="4"/>
      <c r="AE1481" s="3"/>
      <c r="AF1481" s="3"/>
      <c r="AG1481" s="4"/>
      <c r="AH1481" s="4"/>
      <c r="AI1481" s="4"/>
      <c r="AJ1481" s="4"/>
      <c r="AK1481" s="3"/>
      <c r="AL1481" s="3"/>
      <c r="AM1481" s="3"/>
      <c r="AN1481" s="3"/>
      <c r="AO1481" s="4"/>
      <c r="AP1481" s="3"/>
      <c r="AQ1481" s="3"/>
      <c r="AR1481" s="3"/>
      <c r="AS1481" s="4"/>
      <c r="AT1481" s="3"/>
      <c r="AU1481" s="4"/>
      <c r="AV1481" s="4"/>
      <c r="AW1481" s="4"/>
      <c r="AX1481" s="4"/>
      <c r="AY1481" s="4"/>
      <c r="AZ1481" s="4"/>
      <c r="BA1481" s="4"/>
      <c r="BB1481" s="4"/>
      <c r="BC1481" s="4"/>
      <c r="BD1481" s="4"/>
      <c r="BE1481" s="3"/>
      <c r="BF1481" s="3"/>
      <c r="BG1481" s="3"/>
      <c r="BH1481" s="4"/>
      <c r="BI1481" s="3"/>
      <c r="BJ1481" s="4"/>
      <c r="BK1481" s="4"/>
      <c r="BL1481" s="4"/>
      <c r="BM1481" s="3"/>
      <c r="BN1481" s="4"/>
      <c r="BO1481" s="4"/>
      <c r="BP1481" s="4"/>
      <c r="BQ1481" s="4"/>
      <c r="BR1481" s="4"/>
      <c r="BS1481" s="4"/>
      <c r="BT1481" s="4"/>
      <c r="BU1481" s="4"/>
      <c r="BV1481" s="4"/>
      <c r="BW1481" s="4"/>
      <c r="BX1481" s="4"/>
      <c r="BY1481" s="4"/>
      <c r="BZ1481" s="4"/>
      <c r="CA1481" s="4"/>
      <c r="CB1481" s="4"/>
      <c r="CC1481" s="4"/>
      <c r="CD1481" s="4"/>
      <c r="CE1481" s="4"/>
      <c r="CF1481" s="4"/>
      <c r="CG1481" s="4"/>
      <c r="CH1481" s="4"/>
      <c r="CI1481" s="4"/>
      <c r="CJ1481" s="4"/>
      <c r="CK1481" s="4"/>
      <c r="CL1481" s="4"/>
      <c r="CM1481" s="4"/>
      <c r="CN1481" s="4"/>
      <c r="CO1481" s="4"/>
      <c r="CP1481" s="4"/>
      <c r="CQ1481" s="3"/>
      <c r="CR1481" s="3"/>
      <c r="CS1481" s="8"/>
      <c r="CT1481" s="4"/>
      <c r="CU1481" s="4"/>
      <c r="CV1481" s="4"/>
      <c r="CW1481" s="4"/>
      <c r="CX1481" s="8"/>
      <c r="CY1481" s="8"/>
      <c r="CZ1481" s="8"/>
      <c r="DA1481" s="8"/>
      <c r="DB1481" s="4"/>
      <c r="DC1481" s="4"/>
      <c r="DD1481" s="4"/>
      <c r="DE1481" s="4"/>
      <c r="DF1481" s="4"/>
      <c r="DG1481" s="4"/>
      <c r="DH1481" s="4"/>
      <c r="DI1481" s="4"/>
      <c r="DJ1481" s="4"/>
      <c r="DK1481" s="4"/>
      <c r="DL1481" s="4"/>
      <c r="DM1481" s="4"/>
      <c r="DN1481" s="4"/>
      <c r="DO1481" s="4"/>
      <c r="DP1481" s="4"/>
      <c r="DQ1481" s="4"/>
      <c r="DR1481" s="4"/>
      <c r="DS1481" s="4"/>
      <c r="DT1481" s="4"/>
      <c r="DU1481" s="4"/>
      <c r="DV1481" s="8"/>
      <c r="DW1481" s="8"/>
      <c r="DX1481" s="8"/>
      <c r="DY1481" s="8"/>
      <c r="DZ1481" s="8"/>
      <c r="EA1481" s="8"/>
      <c r="EB1481" s="4"/>
      <c r="EC1481" s="4"/>
      <c r="ED1481" s="4"/>
    </row>
    <row r="1482" spans="1:151" hidden="1">
      <c r="A1482" s="11" t="s">
        <v>9940</v>
      </c>
      <c r="B1482" s="3" t="s">
        <v>8373</v>
      </c>
      <c r="C1482" s="3">
        <v>2016</v>
      </c>
      <c r="D1482" s="3" t="s">
        <v>4306</v>
      </c>
      <c r="E1482" s="3" t="s">
        <v>9004</v>
      </c>
      <c r="F1482" s="3">
        <v>1</v>
      </c>
      <c r="G1482" s="3"/>
      <c r="H1482" s="3" t="s">
        <v>4310</v>
      </c>
      <c r="I1482" s="3"/>
      <c r="J1482" s="3"/>
      <c r="K1482" s="3" t="s">
        <v>1589</v>
      </c>
      <c r="L1482" s="4"/>
      <c r="M1482" s="3" t="s">
        <v>8557</v>
      </c>
      <c r="T1482" s="3" t="s">
        <v>4308</v>
      </c>
      <c r="V1482" s="3"/>
      <c r="W1482" s="4"/>
      <c r="X1482" s="5" t="s">
        <v>4311</v>
      </c>
      <c r="Y1482" s="5"/>
      <c r="Z1482" s="3">
        <v>1</v>
      </c>
      <c r="AA1482" s="4"/>
      <c r="AB1482" s="4"/>
      <c r="AE1482" s="3"/>
      <c r="AF1482" s="3"/>
      <c r="AG1482" s="4"/>
      <c r="AH1482" s="4"/>
      <c r="AI1482" s="4"/>
      <c r="AJ1482" s="4"/>
      <c r="AK1482" s="3"/>
      <c r="AL1482" s="3"/>
      <c r="AM1482" s="3"/>
      <c r="AN1482" s="3"/>
      <c r="AO1482" s="4"/>
      <c r="AP1482" s="3"/>
      <c r="AQ1482" s="4"/>
      <c r="AR1482" s="3"/>
      <c r="AS1482" s="3"/>
      <c r="AT1482" s="4"/>
      <c r="AU1482" s="3"/>
      <c r="AV1482" s="4"/>
      <c r="AW1482" s="4"/>
      <c r="AX1482" s="4"/>
      <c r="AY1482" s="4"/>
      <c r="AZ1482" s="4"/>
      <c r="BA1482" s="4"/>
      <c r="BB1482" s="4"/>
      <c r="BC1482" s="4"/>
      <c r="BD1482" s="4"/>
      <c r="BE1482" s="4"/>
      <c r="BF1482" s="3"/>
      <c r="BG1482" s="3"/>
      <c r="BH1482" s="3"/>
      <c r="BI1482" s="4"/>
      <c r="BJ1482" s="3"/>
      <c r="BK1482" s="4"/>
      <c r="BL1482" s="4"/>
      <c r="BM1482" s="3"/>
      <c r="BN1482" s="4"/>
      <c r="BO1482" s="4"/>
      <c r="BP1482" s="4"/>
      <c r="BQ1482" s="4"/>
      <c r="BR1482" s="4"/>
      <c r="BS1482" s="4"/>
      <c r="BT1482" s="4"/>
      <c r="BU1482" s="4"/>
      <c r="BV1482" s="4"/>
      <c r="BW1482" s="4"/>
      <c r="BX1482" s="4"/>
      <c r="BY1482" s="4"/>
      <c r="BZ1482" s="4"/>
      <c r="CA1482" s="4"/>
      <c r="CB1482" s="4"/>
      <c r="CC1482" s="4"/>
      <c r="CD1482" s="4"/>
      <c r="CE1482" s="4"/>
      <c r="CF1482" s="4"/>
      <c r="CG1482" s="4"/>
      <c r="CH1482" s="4"/>
      <c r="CI1482" s="4"/>
      <c r="CJ1482" s="4"/>
      <c r="CK1482" s="4"/>
      <c r="CL1482" s="4"/>
      <c r="CM1482" s="4"/>
      <c r="CN1482" s="4"/>
      <c r="CO1482" s="4"/>
      <c r="CP1482" s="4"/>
      <c r="CQ1482" s="4"/>
      <c r="CR1482" s="4"/>
      <c r="CS1482" s="4"/>
      <c r="CT1482" s="4"/>
      <c r="CU1482" s="4"/>
      <c r="CV1482" s="4"/>
      <c r="CW1482" s="4"/>
      <c r="CX1482" s="3"/>
      <c r="CY1482" s="3"/>
      <c r="CZ1482" s="8"/>
      <c r="DA1482" s="4"/>
      <c r="DB1482" s="4"/>
      <c r="DC1482" s="4"/>
      <c r="DD1482" s="4"/>
      <c r="DE1482" s="8"/>
      <c r="DF1482" s="8"/>
      <c r="DG1482" s="8"/>
      <c r="DH1482" s="8"/>
      <c r="DI1482" s="4"/>
      <c r="DJ1482" s="4"/>
      <c r="DK1482" s="4"/>
      <c r="DL1482" s="4"/>
      <c r="DM1482" s="4"/>
      <c r="DN1482" s="4"/>
      <c r="DO1482" s="4"/>
      <c r="DP1482" s="4"/>
      <c r="DQ1482" s="4"/>
      <c r="DR1482" s="4"/>
      <c r="DS1482" s="4"/>
      <c r="DT1482" s="4"/>
      <c r="DU1482" s="4"/>
      <c r="DV1482" s="4"/>
      <c r="DW1482" s="4"/>
      <c r="DX1482" s="4"/>
      <c r="DY1482" s="4"/>
      <c r="DZ1482" s="4"/>
      <c r="EA1482" s="4"/>
      <c r="EB1482" s="4"/>
      <c r="EC1482" s="8"/>
      <c r="ED1482" s="8"/>
      <c r="EE1482" s="8"/>
      <c r="EF1482" s="8"/>
      <c r="EG1482" s="8"/>
      <c r="EH1482" s="8"/>
      <c r="EI1482" s="4"/>
      <c r="EJ1482" s="4"/>
      <c r="EK1482" s="4"/>
    </row>
    <row r="1483" spans="1:151" hidden="1">
      <c r="A1483" s="11" t="s">
        <v>9940</v>
      </c>
      <c r="B1483" s="3" t="s">
        <v>8373</v>
      </c>
      <c r="C1483" s="3">
        <v>1990</v>
      </c>
      <c r="D1483" s="3" t="s">
        <v>9005</v>
      </c>
      <c r="E1483" s="3" t="s">
        <v>9006</v>
      </c>
      <c r="F1483" s="3">
        <v>1</v>
      </c>
      <c r="G1483" s="3"/>
      <c r="H1483" s="3" t="s">
        <v>9011</v>
      </c>
      <c r="I1483" s="3"/>
      <c r="J1483" s="3"/>
      <c r="K1483" s="3" t="s">
        <v>9007</v>
      </c>
      <c r="L1483" s="4"/>
      <c r="M1483" s="3" t="s">
        <v>9008</v>
      </c>
      <c r="T1483" s="3" t="s">
        <v>9009</v>
      </c>
      <c r="V1483" s="3"/>
      <c r="W1483" s="3"/>
      <c r="X1483" s="5" t="s">
        <v>9010</v>
      </c>
      <c r="Y1483" s="5"/>
      <c r="Z1483" s="3">
        <v>1</v>
      </c>
      <c r="AA1483" s="4"/>
      <c r="AB1483" s="3"/>
      <c r="AE1483" s="3"/>
      <c r="AF1483" s="3"/>
      <c r="AG1483" s="4"/>
      <c r="AH1483" s="4"/>
      <c r="AI1483" s="4"/>
      <c r="AJ1483" s="4"/>
      <c r="AK1483" s="3"/>
      <c r="AL1483" s="3"/>
      <c r="AM1483" s="3"/>
      <c r="AN1483" s="3"/>
      <c r="AO1483" s="4"/>
      <c r="AP1483" s="3"/>
      <c r="AQ1483" s="4"/>
      <c r="AR1483" s="3"/>
      <c r="AS1483" s="3"/>
      <c r="AT1483" s="4"/>
      <c r="AU1483" s="3"/>
      <c r="AV1483" s="4"/>
      <c r="AW1483" s="4"/>
      <c r="AX1483" s="4"/>
      <c r="AY1483" s="4"/>
      <c r="AZ1483" s="4"/>
      <c r="BA1483" s="4"/>
      <c r="BB1483" s="4"/>
      <c r="BC1483" s="4"/>
      <c r="BD1483" s="4"/>
      <c r="BE1483" s="4"/>
      <c r="BF1483" s="3"/>
      <c r="BG1483" s="3"/>
      <c r="BH1483" s="3"/>
      <c r="BI1483" s="4"/>
      <c r="BJ1483" s="3"/>
      <c r="BK1483" s="4"/>
      <c r="BL1483" s="3"/>
      <c r="BM1483" s="4"/>
      <c r="BN1483" s="4"/>
      <c r="BO1483" s="4"/>
      <c r="BP1483" s="4"/>
      <c r="BQ1483" s="4"/>
      <c r="BR1483" s="4"/>
      <c r="BS1483" s="4"/>
      <c r="BT1483" s="4"/>
      <c r="BU1483" s="4"/>
      <c r="BV1483" s="4"/>
      <c r="BW1483" s="4"/>
      <c r="BX1483" s="4"/>
      <c r="BY1483" s="4"/>
      <c r="BZ1483" s="4"/>
      <c r="CA1483" s="4"/>
      <c r="CB1483" s="4"/>
      <c r="CC1483" s="4"/>
      <c r="CD1483" s="4"/>
      <c r="CE1483" s="4"/>
      <c r="CF1483" s="4"/>
      <c r="CG1483" s="4"/>
      <c r="CH1483" s="4"/>
      <c r="CI1483" s="4"/>
      <c r="CJ1483" s="4"/>
      <c r="CK1483" s="4"/>
      <c r="CL1483" s="4"/>
      <c r="CM1483" s="4"/>
      <c r="CN1483" s="4"/>
      <c r="CO1483" s="4"/>
      <c r="CP1483" s="4"/>
      <c r="CQ1483" s="4"/>
      <c r="CR1483" s="4"/>
      <c r="CS1483" s="4"/>
      <c r="CT1483" s="4"/>
      <c r="CU1483" s="4"/>
      <c r="CV1483" s="4"/>
      <c r="CW1483" s="4"/>
      <c r="CX1483" s="4"/>
      <c r="CY1483" s="3"/>
      <c r="CZ1483" s="3"/>
      <c r="DA1483" s="8"/>
      <c r="DB1483" s="4"/>
      <c r="DC1483" s="4"/>
      <c r="DD1483" s="4"/>
      <c r="DE1483" s="4"/>
      <c r="DF1483" s="8"/>
      <c r="DG1483" s="8"/>
      <c r="DH1483" s="8"/>
      <c r="DI1483" s="8"/>
      <c r="DJ1483" s="4"/>
      <c r="DK1483" s="4"/>
      <c r="DL1483" s="4"/>
      <c r="DM1483" s="4"/>
      <c r="DN1483" s="4"/>
      <c r="DO1483" s="4"/>
      <c r="DP1483" s="4"/>
      <c r="DQ1483" s="4"/>
      <c r="DR1483" s="4"/>
      <c r="DS1483" s="4"/>
      <c r="DT1483" s="4"/>
      <c r="DU1483" s="4"/>
      <c r="DV1483" s="4"/>
      <c r="DW1483" s="4"/>
      <c r="DX1483" s="4"/>
      <c r="DY1483" s="4"/>
      <c r="DZ1483" s="4"/>
      <c r="EA1483" s="4"/>
      <c r="EB1483" s="4"/>
      <c r="EC1483" s="4"/>
      <c r="ED1483" s="8"/>
      <c r="EE1483" s="8"/>
      <c r="EF1483" s="8"/>
      <c r="EG1483" s="8"/>
      <c r="EH1483" s="8"/>
      <c r="EI1483" s="8"/>
      <c r="EJ1483" s="4"/>
      <c r="EK1483" s="4"/>
      <c r="EL1483" s="4"/>
    </row>
    <row r="1484" spans="1:151" hidden="1">
      <c r="A1484" s="11" t="s">
        <v>9940</v>
      </c>
      <c r="B1484" s="3" t="s">
        <v>8373</v>
      </c>
      <c r="C1484" s="3">
        <v>2013</v>
      </c>
      <c r="D1484" s="3" t="s">
        <v>3174</v>
      </c>
      <c r="E1484" s="3" t="s">
        <v>9680</v>
      </c>
      <c r="F1484" s="3">
        <v>0</v>
      </c>
      <c r="G1484" s="3" t="s">
        <v>9178</v>
      </c>
      <c r="H1484" s="3" t="s">
        <v>9682</v>
      </c>
      <c r="I1484" s="3"/>
      <c r="J1484" s="3"/>
      <c r="K1484" s="3" t="s">
        <v>3175</v>
      </c>
      <c r="L1484" s="4"/>
      <c r="M1484" s="3" t="s">
        <v>9681</v>
      </c>
      <c r="T1484" s="3" t="s">
        <v>3177</v>
      </c>
      <c r="V1484" s="4"/>
      <c r="W1484" s="4"/>
      <c r="X1484" s="5" t="s">
        <v>3180</v>
      </c>
      <c r="Y1484" s="5"/>
      <c r="Z1484" s="4"/>
      <c r="AA1484" s="4"/>
      <c r="AB1484" s="4"/>
      <c r="AE1484" s="4"/>
      <c r="AF1484" s="4"/>
      <c r="AG1484" s="3"/>
      <c r="AH1484" s="3"/>
      <c r="AI1484" s="3"/>
      <c r="AJ1484" s="3"/>
      <c r="AK1484" s="4"/>
      <c r="AL1484" s="3"/>
      <c r="AM1484" s="3"/>
      <c r="AN1484" s="3"/>
      <c r="AO1484" s="4"/>
      <c r="AP1484" s="3"/>
      <c r="AQ1484" s="4"/>
      <c r="AR1484" s="4"/>
      <c r="AS1484" s="4"/>
      <c r="AT1484" s="4"/>
      <c r="AU1484" s="4"/>
      <c r="AV1484" s="4"/>
      <c r="AW1484" s="4"/>
      <c r="AX1484" s="4"/>
      <c r="AY1484" s="4"/>
      <c r="AZ1484" s="4"/>
      <c r="BA1484" s="3"/>
      <c r="BB1484" s="3"/>
      <c r="BC1484" s="3"/>
      <c r="BD1484" s="4"/>
      <c r="BE1484" s="3"/>
      <c r="BF1484" s="4"/>
      <c r="BG1484" s="4"/>
      <c r="BH1484" s="3"/>
      <c r="BI1484" s="4"/>
      <c r="BJ1484" s="4"/>
      <c r="BK1484" s="4"/>
      <c r="BL1484" s="4"/>
      <c r="BM1484" s="4"/>
      <c r="BN1484" s="4"/>
      <c r="BO1484" s="4"/>
      <c r="BP1484" s="4"/>
      <c r="BQ1484" s="4"/>
      <c r="BR1484" s="4"/>
      <c r="BS1484" s="4"/>
      <c r="BT1484" s="4"/>
      <c r="BU1484" s="4"/>
      <c r="BV1484" s="4"/>
      <c r="BW1484" s="4"/>
      <c r="BX1484" s="4"/>
      <c r="BY1484" s="4"/>
      <c r="BZ1484" s="4"/>
      <c r="CA1484" s="4"/>
      <c r="CB1484" s="4"/>
      <c r="CC1484" s="4"/>
      <c r="CD1484" s="4"/>
      <c r="CE1484" s="4"/>
      <c r="CF1484" s="4"/>
      <c r="CG1484" s="4"/>
      <c r="CH1484" s="4"/>
      <c r="CI1484" s="4"/>
      <c r="CJ1484" s="3"/>
      <c r="CK1484" s="3"/>
      <c r="CL1484" s="4"/>
      <c r="CM1484" s="4"/>
      <c r="CN1484" s="4"/>
      <c r="CO1484" s="4"/>
      <c r="CP1484" s="4"/>
      <c r="CQ1484" s="4"/>
      <c r="CR1484" s="4"/>
      <c r="CS1484" s="4"/>
      <c r="CT1484" s="4"/>
      <c r="CU1484" s="4"/>
      <c r="CV1484" s="4"/>
      <c r="CW1484" s="4"/>
      <c r="CX1484" s="4"/>
      <c r="CY1484" s="4"/>
      <c r="CZ1484" s="4"/>
      <c r="DA1484" s="4"/>
      <c r="DB1484" s="4"/>
      <c r="DC1484" s="4"/>
      <c r="DD1484" s="4"/>
      <c r="DE1484" s="4"/>
      <c r="DF1484" s="4"/>
      <c r="DG1484" s="4"/>
      <c r="DH1484" s="4"/>
      <c r="DI1484" s="4"/>
      <c r="DJ1484" s="4"/>
      <c r="DK1484" s="4"/>
      <c r="DL1484" s="4"/>
      <c r="DM1484" s="4"/>
      <c r="DN1484" s="4"/>
      <c r="DO1484" s="4"/>
      <c r="DP1484" s="4"/>
      <c r="DQ1484" s="4"/>
      <c r="DR1484" s="4"/>
      <c r="DS1484" s="4"/>
      <c r="DT1484" s="4"/>
      <c r="DU1484" s="4"/>
      <c r="DV1484" s="4"/>
      <c r="DW1484" s="4"/>
    </row>
    <row r="1485" spans="1:151" hidden="1">
      <c r="A1485" s="11" t="s">
        <v>9940</v>
      </c>
      <c r="B1485" s="3" t="s">
        <v>8373</v>
      </c>
      <c r="C1485" s="3">
        <v>2012</v>
      </c>
      <c r="D1485" s="3" t="s">
        <v>9683</v>
      </c>
      <c r="E1485" s="3" t="s">
        <v>9684</v>
      </c>
      <c r="F1485" s="3">
        <v>0</v>
      </c>
      <c r="G1485" s="3" t="s">
        <v>9237</v>
      </c>
      <c r="H1485" s="3" t="s">
        <v>5943</v>
      </c>
      <c r="I1485" s="3"/>
      <c r="J1485" s="3"/>
      <c r="K1485" s="3" t="s">
        <v>933</v>
      </c>
      <c r="L1485" s="4"/>
      <c r="M1485" s="12">
        <v>19633</v>
      </c>
      <c r="T1485" s="3" t="s">
        <v>5941</v>
      </c>
      <c r="V1485" s="4"/>
      <c r="W1485" s="4"/>
      <c r="X1485" s="5" t="s">
        <v>5944</v>
      </c>
      <c r="Y1485" s="5"/>
      <c r="Z1485" s="4"/>
      <c r="AA1485" s="4"/>
      <c r="AB1485" s="4"/>
      <c r="AE1485" s="4"/>
      <c r="AF1485" s="4"/>
      <c r="AG1485" s="3"/>
      <c r="AH1485" s="3"/>
      <c r="AI1485" s="3"/>
      <c r="AJ1485" s="3"/>
      <c r="AK1485" s="4"/>
      <c r="AL1485" s="3"/>
      <c r="AM1485" s="4"/>
      <c r="AN1485" s="3"/>
      <c r="AO1485" s="3"/>
      <c r="AP1485" s="4"/>
      <c r="AQ1485" s="3"/>
      <c r="AR1485" s="4"/>
      <c r="AS1485" s="4"/>
      <c r="AT1485" s="4"/>
      <c r="AU1485" s="4"/>
      <c r="AV1485" s="4"/>
      <c r="AW1485" s="4"/>
      <c r="AX1485" s="4"/>
      <c r="AY1485" s="4"/>
      <c r="AZ1485" s="4"/>
      <c r="BA1485" s="4"/>
      <c r="BB1485" s="3"/>
      <c r="BC1485" s="3"/>
      <c r="BD1485" s="3"/>
      <c r="BE1485" s="4"/>
      <c r="BF1485" s="3"/>
      <c r="BG1485" s="4"/>
      <c r="BH1485" s="4"/>
      <c r="BI1485" s="4"/>
      <c r="BJ1485" s="3"/>
      <c r="BK1485" s="4"/>
      <c r="BL1485" s="4"/>
      <c r="BM1485" s="4"/>
      <c r="BN1485" s="4"/>
      <c r="BO1485" s="4"/>
      <c r="BP1485" s="4"/>
      <c r="BQ1485" s="4"/>
      <c r="BR1485" s="4"/>
      <c r="BS1485" s="4"/>
      <c r="BT1485" s="4"/>
      <c r="BU1485" s="4"/>
      <c r="BV1485" s="4"/>
      <c r="BW1485" s="4"/>
      <c r="BX1485" s="4"/>
      <c r="BY1485" s="4"/>
      <c r="BZ1485" s="4"/>
      <c r="CA1485" s="4"/>
      <c r="CB1485" s="4"/>
      <c r="CC1485" s="4"/>
      <c r="CD1485" s="4"/>
      <c r="CE1485" s="4"/>
      <c r="CF1485" s="4"/>
      <c r="CG1485" s="4"/>
      <c r="CH1485" s="4"/>
      <c r="CI1485" s="3"/>
      <c r="CJ1485" s="3"/>
      <c r="CK1485" s="4"/>
      <c r="CL1485" s="4"/>
      <c r="CM1485" s="4"/>
      <c r="CN1485" s="4"/>
      <c r="CO1485" s="4"/>
      <c r="CP1485" s="4"/>
      <c r="CQ1485" s="4"/>
      <c r="CR1485" s="4"/>
      <c r="CS1485" s="4"/>
      <c r="CT1485" s="4"/>
      <c r="CU1485" s="4"/>
      <c r="CV1485" s="4"/>
      <c r="CW1485" s="4"/>
      <c r="CX1485" s="4"/>
      <c r="CY1485" s="4"/>
      <c r="CZ1485" s="4"/>
      <c r="DA1485" s="4"/>
      <c r="DB1485" s="4"/>
      <c r="DC1485" s="4"/>
      <c r="DD1485" s="4"/>
      <c r="DE1485" s="4"/>
      <c r="DF1485" s="4"/>
      <c r="DG1485" s="4"/>
      <c r="DH1485" s="4"/>
      <c r="DI1485" s="4"/>
      <c r="DJ1485" s="4"/>
      <c r="DK1485" s="4"/>
      <c r="DL1485" s="4"/>
      <c r="DM1485" s="4"/>
      <c r="DN1485" s="4"/>
      <c r="DO1485" s="4"/>
      <c r="DP1485" s="4"/>
      <c r="DQ1485" s="4"/>
      <c r="DR1485" s="4"/>
      <c r="DS1485" s="4"/>
      <c r="DT1485" s="4"/>
      <c r="DU1485" s="4"/>
      <c r="DV1485" s="4"/>
    </row>
    <row r="1486" spans="1:151" hidden="1">
      <c r="A1486" s="11" t="s">
        <v>9940</v>
      </c>
      <c r="B1486" s="3" t="s">
        <v>8373</v>
      </c>
      <c r="C1486" s="3">
        <v>1993</v>
      </c>
      <c r="D1486" s="3" t="s">
        <v>9012</v>
      </c>
      <c r="E1486" s="3" t="s">
        <v>9013</v>
      </c>
      <c r="F1486" s="3">
        <v>1</v>
      </c>
      <c r="G1486" s="3"/>
      <c r="H1486" s="3" t="s">
        <v>9018</v>
      </c>
      <c r="I1486" s="3"/>
      <c r="J1486" s="3"/>
      <c r="K1486" s="3" t="s">
        <v>9014</v>
      </c>
      <c r="L1486" s="4"/>
      <c r="M1486" s="3" t="s">
        <v>9015</v>
      </c>
      <c r="T1486" s="3" t="s">
        <v>9016</v>
      </c>
      <c r="V1486" s="3"/>
      <c r="W1486" s="4"/>
      <c r="X1486" s="5" t="s">
        <v>9017</v>
      </c>
      <c r="Y1486" s="5"/>
      <c r="Z1486" s="3">
        <v>1</v>
      </c>
      <c r="AA1486" s="4"/>
      <c r="AB1486" s="4"/>
      <c r="AE1486" s="3"/>
      <c r="AF1486" s="3"/>
      <c r="AG1486" s="4"/>
      <c r="AH1486" s="4"/>
      <c r="AI1486" s="4"/>
      <c r="AJ1486" s="4"/>
      <c r="AK1486" s="3"/>
      <c r="AL1486" s="3"/>
      <c r="AM1486" s="3"/>
      <c r="AN1486" s="3"/>
      <c r="AO1486" s="4"/>
      <c r="AP1486" s="3"/>
      <c r="AQ1486" s="4"/>
      <c r="AR1486" s="3"/>
      <c r="AS1486" s="3"/>
      <c r="AT1486" s="4"/>
      <c r="AU1486" s="3"/>
      <c r="AV1486" s="4"/>
      <c r="AW1486" s="4"/>
      <c r="AX1486" s="4"/>
      <c r="AY1486" s="4"/>
      <c r="AZ1486" s="4"/>
      <c r="BA1486" s="4"/>
      <c r="BB1486" s="4"/>
      <c r="BC1486" s="4"/>
      <c r="BD1486" s="4"/>
      <c r="BE1486" s="4"/>
      <c r="BF1486" s="3"/>
      <c r="BG1486" s="3"/>
      <c r="BH1486" s="3"/>
      <c r="BI1486" s="4"/>
      <c r="BJ1486" s="3"/>
      <c r="BK1486" s="4"/>
      <c r="BL1486" s="4"/>
      <c r="BM1486" s="3"/>
      <c r="BN1486" s="4"/>
      <c r="BO1486" s="4"/>
      <c r="BP1486" s="4"/>
      <c r="BQ1486" s="4"/>
      <c r="BR1486" s="4"/>
      <c r="BS1486" s="4"/>
      <c r="BT1486" s="4"/>
      <c r="BU1486" s="4"/>
      <c r="BV1486" s="4"/>
      <c r="BW1486" s="4"/>
      <c r="BX1486" s="4"/>
      <c r="BY1486" s="4"/>
      <c r="BZ1486" s="4"/>
      <c r="CA1486" s="4"/>
      <c r="CB1486" s="4"/>
      <c r="CC1486" s="4"/>
      <c r="CD1486" s="4"/>
      <c r="CE1486" s="4"/>
      <c r="CF1486" s="4"/>
      <c r="CG1486" s="4"/>
      <c r="CH1486" s="4"/>
      <c r="CI1486" s="4"/>
      <c r="CJ1486" s="4"/>
      <c r="CK1486" s="4"/>
      <c r="CL1486" s="4"/>
      <c r="CM1486" s="4"/>
      <c r="CN1486" s="4"/>
      <c r="CO1486" s="4"/>
      <c r="CP1486" s="4"/>
      <c r="CQ1486" s="4"/>
      <c r="CR1486" s="4"/>
      <c r="CS1486" s="4"/>
      <c r="CT1486" s="4"/>
      <c r="CU1486" s="4"/>
      <c r="CV1486" s="4"/>
      <c r="CW1486" s="4"/>
      <c r="CX1486" s="4"/>
      <c r="CY1486" s="4"/>
      <c r="CZ1486" s="4"/>
      <c r="DA1486" s="4"/>
      <c r="DB1486" s="4"/>
      <c r="DC1486" s="4"/>
      <c r="DD1486" s="4"/>
      <c r="DE1486" s="4"/>
      <c r="DF1486" s="4"/>
      <c r="DG1486" s="4"/>
      <c r="DH1486" s="3"/>
      <c r="DI1486" s="3"/>
      <c r="DJ1486" s="8"/>
      <c r="DK1486" s="4"/>
      <c r="DL1486" s="4"/>
      <c r="DM1486" s="4"/>
      <c r="DN1486" s="4"/>
      <c r="DO1486" s="8"/>
      <c r="DP1486" s="8"/>
      <c r="DQ1486" s="8"/>
      <c r="DR1486" s="8"/>
      <c r="DS1486" s="4"/>
      <c r="DT1486" s="4"/>
      <c r="DU1486" s="4"/>
      <c r="DV1486" s="4"/>
      <c r="DW1486" s="4"/>
      <c r="DX1486" s="4"/>
      <c r="DY1486" s="4"/>
      <c r="DZ1486" s="4"/>
      <c r="EA1486" s="4"/>
      <c r="EB1486" s="4"/>
      <c r="EC1486" s="4"/>
      <c r="ED1486" s="4"/>
      <c r="EE1486" s="4"/>
      <c r="EF1486" s="4"/>
      <c r="EG1486" s="4"/>
      <c r="EH1486" s="4"/>
      <c r="EI1486" s="4"/>
      <c r="EJ1486" s="4"/>
      <c r="EK1486" s="4"/>
      <c r="EL1486" s="4"/>
      <c r="EM1486" s="8"/>
      <c r="EN1486" s="8"/>
      <c r="EO1486" s="8"/>
      <c r="EP1486" s="8"/>
      <c r="EQ1486" s="8"/>
      <c r="ER1486" s="8"/>
      <c r="ES1486" s="4"/>
      <c r="ET1486" s="4"/>
      <c r="EU1486" s="4"/>
    </row>
    <row r="1487" spans="1:151" hidden="1">
      <c r="A1487" s="11" t="s">
        <v>9940</v>
      </c>
      <c r="B1487" s="3" t="s">
        <v>8379</v>
      </c>
      <c r="C1487" s="3">
        <v>2001</v>
      </c>
      <c r="D1487" s="3" t="s">
        <v>9685</v>
      </c>
      <c r="E1487" s="3" t="s">
        <v>9686</v>
      </c>
      <c r="F1487" s="3">
        <v>1</v>
      </c>
      <c r="G1487" s="4"/>
      <c r="H1487" s="3" t="s">
        <v>9688</v>
      </c>
      <c r="I1487" s="3"/>
      <c r="J1487" s="3"/>
      <c r="K1487" s="4"/>
      <c r="L1487" s="4"/>
      <c r="M1487" s="4"/>
      <c r="T1487" s="4"/>
      <c r="V1487" s="3"/>
      <c r="W1487" s="3"/>
      <c r="X1487" s="5" t="s">
        <v>9687</v>
      </c>
      <c r="Y1487" s="5"/>
      <c r="Z1487" s="3">
        <v>0</v>
      </c>
      <c r="AA1487" s="3" t="s">
        <v>9265</v>
      </c>
      <c r="AB1487" s="4"/>
      <c r="AE1487" s="3"/>
      <c r="AF1487" s="4"/>
      <c r="AG1487" s="4"/>
      <c r="AH1487" s="4"/>
      <c r="AI1487" s="4"/>
      <c r="AJ1487" s="4"/>
      <c r="AK1487" s="3"/>
      <c r="AL1487" s="3"/>
      <c r="AM1487" s="3"/>
      <c r="AN1487" s="3"/>
      <c r="AO1487" s="4"/>
      <c r="AP1487" s="4"/>
      <c r="AQ1487" s="3"/>
      <c r="AR1487" s="4"/>
      <c r="AS1487" s="4"/>
      <c r="AT1487" s="4"/>
      <c r="AU1487" s="4"/>
      <c r="AV1487" s="4"/>
      <c r="AW1487" s="4"/>
      <c r="AX1487" s="4"/>
      <c r="AY1487" s="4"/>
      <c r="AZ1487" s="4"/>
      <c r="BA1487" s="3"/>
      <c r="BB1487" s="4"/>
      <c r="BC1487" s="3"/>
      <c r="BD1487" s="3"/>
      <c r="BE1487" s="3"/>
      <c r="BF1487" s="4"/>
      <c r="BG1487" s="3"/>
      <c r="BH1487" s="3"/>
      <c r="BI1487" s="4"/>
      <c r="BJ1487" s="4"/>
      <c r="BK1487" s="4"/>
      <c r="BL1487" s="4"/>
      <c r="BM1487" s="4"/>
      <c r="BN1487" s="4"/>
      <c r="BO1487" s="4"/>
      <c r="BP1487" s="4"/>
      <c r="BQ1487" s="4"/>
      <c r="BR1487" s="4"/>
      <c r="BS1487" s="4"/>
      <c r="BT1487" s="4"/>
      <c r="BU1487" s="4"/>
      <c r="BV1487" s="4"/>
      <c r="BW1487" s="4"/>
      <c r="BX1487" s="4"/>
      <c r="BY1487" s="4"/>
      <c r="BZ1487" s="4"/>
      <c r="CA1487" s="4"/>
      <c r="CB1487" s="4"/>
      <c r="CC1487" s="4"/>
      <c r="CD1487" s="4"/>
      <c r="CE1487" s="4"/>
      <c r="CF1487" s="4"/>
      <c r="CG1487" s="4"/>
      <c r="CH1487" s="4"/>
      <c r="CI1487" s="4"/>
      <c r="CJ1487" s="4"/>
      <c r="CK1487" s="4"/>
      <c r="CL1487" s="4"/>
      <c r="CM1487" s="4"/>
      <c r="CN1487" s="4"/>
      <c r="CO1487" s="4"/>
      <c r="CP1487" s="4"/>
      <c r="CQ1487" s="4"/>
      <c r="CR1487" s="4"/>
      <c r="CS1487" s="4"/>
      <c r="CT1487" s="4"/>
      <c r="CU1487" s="4"/>
      <c r="CV1487" s="4"/>
      <c r="CW1487" s="3"/>
      <c r="CX1487" s="3"/>
      <c r="CY1487" s="4"/>
      <c r="CZ1487" s="4"/>
      <c r="DA1487" s="4"/>
      <c r="DB1487" s="4"/>
      <c r="DC1487" s="4"/>
      <c r="DD1487" s="4"/>
      <c r="DE1487" s="4"/>
      <c r="DF1487" s="4"/>
      <c r="DG1487" s="4"/>
      <c r="DH1487" s="4"/>
      <c r="DI1487" s="4"/>
      <c r="DJ1487" s="4"/>
      <c r="DK1487" s="4"/>
      <c r="DL1487" s="4"/>
      <c r="DM1487" s="4"/>
      <c r="DN1487" s="4"/>
      <c r="DO1487" s="4"/>
      <c r="DP1487" s="4"/>
      <c r="DQ1487" s="4"/>
      <c r="DR1487" s="4"/>
      <c r="DS1487" s="4"/>
      <c r="DT1487" s="4"/>
      <c r="DU1487" s="4"/>
      <c r="DV1487" s="4"/>
      <c r="DW1487" s="4"/>
      <c r="DX1487" s="4"/>
      <c r="DY1487" s="4"/>
      <c r="DZ1487" s="4"/>
      <c r="EA1487" s="4"/>
      <c r="EB1487" s="4"/>
      <c r="EC1487" s="4"/>
      <c r="ED1487" s="4"/>
      <c r="EE1487" s="4"/>
      <c r="EF1487" s="4"/>
      <c r="EG1487" s="4"/>
      <c r="EH1487" s="4"/>
      <c r="EI1487" s="4"/>
      <c r="EJ1487" s="4"/>
    </row>
    <row r="1488" spans="1:151" hidden="1">
      <c r="A1488" s="11" t="s">
        <v>9940</v>
      </c>
      <c r="B1488" s="3" t="s">
        <v>8379</v>
      </c>
      <c r="C1488" s="3">
        <v>2011</v>
      </c>
      <c r="D1488" s="3" t="s">
        <v>1889</v>
      </c>
      <c r="E1488" s="3" t="s">
        <v>9689</v>
      </c>
      <c r="F1488" s="3">
        <v>0</v>
      </c>
      <c r="G1488" s="3" t="s">
        <v>9237</v>
      </c>
      <c r="H1488" s="3" t="s">
        <v>1892</v>
      </c>
      <c r="I1488" s="3"/>
      <c r="J1488" s="3"/>
      <c r="K1488" s="4"/>
      <c r="L1488" s="4"/>
      <c r="M1488" s="4"/>
      <c r="T1488" s="4"/>
      <c r="V1488" s="4"/>
      <c r="W1488" s="4"/>
      <c r="X1488" s="5" t="s">
        <v>1893</v>
      </c>
      <c r="Y1488" s="5"/>
      <c r="Z1488" s="4"/>
      <c r="AA1488" s="4"/>
      <c r="AB1488" s="4"/>
      <c r="AE1488" s="4"/>
      <c r="AF1488" s="4"/>
      <c r="AG1488" s="3"/>
      <c r="AH1488" s="3"/>
      <c r="AI1488" s="3"/>
      <c r="AJ1488" s="3"/>
      <c r="AK1488" s="4"/>
      <c r="AL1488" s="4"/>
      <c r="AM1488" s="3"/>
      <c r="AN1488" s="4"/>
      <c r="AO1488" s="4"/>
      <c r="AP1488" s="4"/>
      <c r="AQ1488" s="4"/>
      <c r="AR1488" s="4"/>
      <c r="AS1488" s="4"/>
      <c r="AT1488" s="4"/>
      <c r="AU1488" s="4"/>
      <c r="AV1488" s="4"/>
      <c r="AW1488" s="3"/>
      <c r="AX1488" s="4"/>
      <c r="AY1488" s="3"/>
      <c r="AZ1488" s="3"/>
      <c r="BA1488" s="3"/>
      <c r="BB1488" s="4"/>
      <c r="BC1488" s="3"/>
      <c r="BD1488" s="3"/>
      <c r="BE1488" s="4"/>
      <c r="BF1488" s="4"/>
      <c r="BG1488" s="4"/>
      <c r="BH1488" s="4"/>
      <c r="BI1488" s="4"/>
      <c r="BJ1488" s="4"/>
      <c r="BK1488" s="4"/>
      <c r="BL1488" s="4"/>
      <c r="BM1488" s="4"/>
      <c r="BN1488" s="4"/>
      <c r="BO1488" s="4"/>
      <c r="BP1488" s="4"/>
      <c r="BQ1488" s="4"/>
      <c r="BR1488" s="4"/>
      <c r="BS1488" s="4"/>
      <c r="BT1488" s="4"/>
      <c r="BU1488" s="4"/>
      <c r="BV1488" s="4"/>
      <c r="BW1488" s="4"/>
      <c r="BX1488" s="4"/>
      <c r="BY1488" s="4"/>
      <c r="BZ1488" s="4"/>
      <c r="CA1488" s="4"/>
      <c r="CB1488" s="4"/>
      <c r="CC1488" s="4"/>
      <c r="CD1488" s="4"/>
      <c r="CE1488" s="4"/>
      <c r="CF1488" s="4"/>
      <c r="CG1488" s="4"/>
      <c r="CH1488" s="4"/>
      <c r="CI1488" s="4"/>
      <c r="CJ1488" s="4"/>
      <c r="CK1488" s="4"/>
      <c r="CL1488" s="4"/>
      <c r="CM1488" s="4"/>
      <c r="CN1488" s="4"/>
      <c r="CO1488" s="4"/>
      <c r="CP1488" s="4"/>
      <c r="CQ1488" s="4"/>
      <c r="CR1488" s="4"/>
      <c r="CS1488" s="3"/>
      <c r="CT1488" s="3"/>
      <c r="CU1488" s="4"/>
      <c r="CV1488" s="4"/>
      <c r="CW1488" s="4"/>
      <c r="CX1488" s="4"/>
      <c r="CY1488" s="4"/>
      <c r="CZ1488" s="4"/>
      <c r="DA1488" s="4"/>
      <c r="DB1488" s="4"/>
      <c r="DC1488" s="4"/>
      <c r="DD1488" s="4"/>
      <c r="DE1488" s="4"/>
      <c r="DF1488" s="4"/>
      <c r="DG1488" s="4"/>
      <c r="DH1488" s="4"/>
      <c r="DI1488" s="4"/>
      <c r="DJ1488" s="4"/>
      <c r="DK1488" s="4"/>
      <c r="DL1488" s="4"/>
      <c r="DM1488" s="4"/>
      <c r="DN1488" s="4"/>
      <c r="DO1488" s="4"/>
      <c r="DP1488" s="4"/>
      <c r="DQ1488" s="4"/>
      <c r="DR1488" s="4"/>
      <c r="DS1488" s="4"/>
      <c r="DT1488" s="4"/>
      <c r="DU1488" s="4"/>
      <c r="DV1488" s="4"/>
      <c r="DW1488" s="4"/>
      <c r="DX1488" s="4"/>
      <c r="DY1488" s="4"/>
      <c r="DZ1488" s="4"/>
      <c r="EA1488" s="4"/>
      <c r="EB1488" s="4"/>
      <c r="EC1488" s="4"/>
      <c r="ED1488" s="4"/>
      <c r="EE1488" s="4"/>
      <c r="EF1488" s="4"/>
    </row>
    <row r="1489" spans="1:145" hidden="1">
      <c r="A1489" s="11" t="s">
        <v>9940</v>
      </c>
      <c r="B1489" s="3" t="s">
        <v>8373</v>
      </c>
      <c r="C1489" s="3">
        <v>2010</v>
      </c>
      <c r="D1489" s="3" t="s">
        <v>9019</v>
      </c>
      <c r="E1489" s="3" t="s">
        <v>9020</v>
      </c>
      <c r="F1489" s="3">
        <v>1</v>
      </c>
      <c r="G1489" s="3"/>
      <c r="H1489" s="3" t="s">
        <v>9023</v>
      </c>
      <c r="I1489" s="3"/>
      <c r="J1489" s="3"/>
      <c r="K1489" s="3" t="s">
        <v>93</v>
      </c>
      <c r="L1489" s="4"/>
      <c r="M1489" s="3" t="s">
        <v>8511</v>
      </c>
      <c r="T1489" s="3" t="s">
        <v>9021</v>
      </c>
      <c r="V1489" s="3"/>
      <c r="W1489" s="3"/>
      <c r="X1489" s="5" t="s">
        <v>9022</v>
      </c>
      <c r="Y1489" s="5"/>
      <c r="Z1489" s="3">
        <v>1</v>
      </c>
      <c r="AA1489" s="4"/>
      <c r="AB1489" s="4"/>
      <c r="AE1489" s="3"/>
      <c r="AF1489" s="3"/>
      <c r="AG1489" s="4"/>
      <c r="AH1489" s="4"/>
      <c r="AI1489" s="4"/>
      <c r="AJ1489" s="4"/>
      <c r="AK1489" s="3"/>
      <c r="AL1489" s="3"/>
      <c r="AM1489" s="3"/>
      <c r="AN1489" s="3"/>
      <c r="AO1489" s="4"/>
      <c r="AP1489" s="3"/>
      <c r="AQ1489" s="4"/>
      <c r="AR1489" s="3"/>
      <c r="AS1489" s="3"/>
      <c r="AT1489" s="4"/>
      <c r="AU1489" s="3"/>
      <c r="AV1489" s="4"/>
      <c r="AW1489" s="4"/>
      <c r="AX1489" s="4"/>
      <c r="AY1489" s="4"/>
      <c r="AZ1489" s="4"/>
      <c r="BA1489" s="4"/>
      <c r="BB1489" s="4"/>
      <c r="BC1489" s="4"/>
      <c r="BD1489" s="4"/>
      <c r="BE1489" s="4"/>
      <c r="BF1489" s="3"/>
      <c r="BG1489" s="3"/>
      <c r="BH1489" s="3"/>
      <c r="BI1489" s="4"/>
      <c r="BJ1489" s="3"/>
      <c r="BK1489" s="4"/>
      <c r="BL1489" s="4"/>
      <c r="BM1489" s="3"/>
      <c r="BN1489" s="4"/>
      <c r="BO1489" s="4"/>
      <c r="BP1489" s="4"/>
      <c r="BQ1489" s="4"/>
      <c r="BR1489" s="4"/>
      <c r="BS1489" s="4"/>
      <c r="BT1489" s="4"/>
      <c r="BU1489" s="4"/>
      <c r="BV1489" s="4"/>
      <c r="BW1489" s="4"/>
      <c r="BX1489" s="4"/>
      <c r="BY1489" s="4"/>
      <c r="BZ1489" s="4"/>
      <c r="CA1489" s="4"/>
      <c r="CB1489" s="4"/>
      <c r="CC1489" s="4"/>
      <c r="CD1489" s="4"/>
      <c r="CE1489" s="4"/>
      <c r="CF1489" s="4"/>
      <c r="CG1489" s="4"/>
      <c r="CH1489" s="4"/>
      <c r="CI1489" s="4"/>
      <c r="CJ1489" s="4"/>
      <c r="CK1489" s="3"/>
      <c r="CL1489" s="3"/>
      <c r="CM1489" s="8"/>
      <c r="CN1489" s="4"/>
      <c r="CO1489" s="4"/>
      <c r="CP1489" s="4"/>
      <c r="CQ1489" s="4"/>
      <c r="CR1489" s="8"/>
      <c r="CS1489" s="8"/>
      <c r="CT1489" s="8"/>
      <c r="CU1489" s="8"/>
      <c r="CV1489" s="4"/>
      <c r="CW1489" s="4"/>
      <c r="CX1489" s="4"/>
      <c r="CY1489" s="4"/>
      <c r="CZ1489" s="4"/>
      <c r="DA1489" s="4"/>
      <c r="DB1489" s="4"/>
      <c r="DC1489" s="4"/>
      <c r="DD1489" s="4"/>
      <c r="DE1489" s="4"/>
      <c r="DF1489" s="4"/>
      <c r="DG1489" s="4"/>
      <c r="DH1489" s="4"/>
      <c r="DI1489" s="4"/>
      <c r="DJ1489" s="4"/>
      <c r="DK1489" s="4"/>
      <c r="DL1489" s="4"/>
      <c r="DM1489" s="4"/>
      <c r="DN1489" s="4"/>
      <c r="DO1489" s="4"/>
      <c r="DP1489" s="8"/>
      <c r="DQ1489" s="8"/>
      <c r="DR1489" s="8"/>
      <c r="DS1489" s="8"/>
      <c r="DT1489" s="8"/>
      <c r="DU1489" s="8"/>
      <c r="DV1489" s="4"/>
      <c r="DW1489" s="4"/>
      <c r="DX1489" s="4"/>
    </row>
    <row r="1490" spans="1:145" hidden="1">
      <c r="A1490" s="11" t="s">
        <v>9940</v>
      </c>
      <c r="B1490" s="3" t="s">
        <v>8373</v>
      </c>
      <c r="C1490" s="3">
        <v>2014</v>
      </c>
      <c r="D1490" s="3" t="s">
        <v>5709</v>
      </c>
      <c r="E1490" s="3" t="s">
        <v>9690</v>
      </c>
      <c r="F1490" s="3">
        <v>0</v>
      </c>
      <c r="G1490" s="3" t="s">
        <v>9237</v>
      </c>
      <c r="H1490" s="3" t="s">
        <v>9692</v>
      </c>
      <c r="I1490" s="3"/>
      <c r="J1490" s="3"/>
      <c r="K1490" s="3" t="s">
        <v>5710</v>
      </c>
      <c r="L1490" s="4"/>
      <c r="M1490" s="3" t="s">
        <v>9691</v>
      </c>
      <c r="T1490" s="3" t="s">
        <v>5712</v>
      </c>
      <c r="V1490" s="4"/>
      <c r="W1490" s="4"/>
      <c r="X1490" s="5" t="s">
        <v>5715</v>
      </c>
      <c r="Y1490" s="5"/>
      <c r="Z1490" s="4"/>
      <c r="AA1490" s="4"/>
      <c r="AB1490" s="4"/>
      <c r="AE1490" s="4"/>
      <c r="AF1490" s="4"/>
      <c r="AG1490" s="3"/>
      <c r="AH1490" s="3"/>
      <c r="AI1490" s="3"/>
      <c r="AJ1490" s="3"/>
      <c r="AK1490" s="4"/>
      <c r="AL1490" s="3"/>
      <c r="AM1490" s="4"/>
      <c r="AN1490" s="3"/>
      <c r="AO1490" s="3"/>
      <c r="AP1490" s="4"/>
      <c r="AQ1490" s="3"/>
      <c r="AR1490" s="4"/>
      <c r="AS1490" s="4"/>
      <c r="AT1490" s="4"/>
      <c r="AU1490" s="4"/>
      <c r="AV1490" s="4"/>
      <c r="AW1490" s="4"/>
      <c r="AX1490" s="4"/>
      <c r="AY1490" s="4"/>
      <c r="AZ1490" s="4"/>
      <c r="BA1490" s="4"/>
      <c r="BB1490" s="3"/>
      <c r="BC1490" s="3"/>
      <c r="BD1490" s="3"/>
      <c r="BE1490" s="4"/>
      <c r="BF1490" s="3"/>
      <c r="BG1490" s="4"/>
      <c r="BH1490" s="4"/>
      <c r="BI1490" s="3"/>
      <c r="BJ1490" s="4"/>
      <c r="BK1490" s="4"/>
      <c r="BL1490" s="4"/>
      <c r="BM1490" s="4"/>
      <c r="BN1490" s="4"/>
      <c r="BO1490" s="4"/>
      <c r="BP1490" s="4"/>
      <c r="BQ1490" s="4"/>
      <c r="BR1490" s="4"/>
      <c r="BS1490" s="4"/>
      <c r="BT1490" s="4"/>
      <c r="BU1490" s="4"/>
      <c r="BV1490" s="4"/>
      <c r="BW1490" s="4"/>
      <c r="BX1490" s="4"/>
      <c r="BY1490" s="4"/>
      <c r="BZ1490" s="4"/>
      <c r="CA1490" s="4"/>
      <c r="CB1490" s="4"/>
      <c r="CC1490" s="4"/>
      <c r="CD1490" s="4"/>
      <c r="CE1490" s="4"/>
      <c r="CF1490" s="4"/>
      <c r="CG1490" s="4"/>
      <c r="CH1490" s="4"/>
      <c r="CI1490" s="4"/>
      <c r="CJ1490" s="4"/>
      <c r="CK1490" s="4"/>
      <c r="CL1490" s="4"/>
      <c r="CM1490" s="4"/>
      <c r="CN1490" s="4"/>
      <c r="CO1490" s="4"/>
      <c r="CP1490" s="4"/>
      <c r="CQ1490" s="4"/>
      <c r="CR1490" s="4"/>
      <c r="CS1490" s="4"/>
      <c r="CT1490" s="4"/>
      <c r="CU1490" s="4"/>
      <c r="CV1490" s="4"/>
      <c r="CW1490" s="3"/>
      <c r="CX1490" s="3"/>
      <c r="CY1490" s="4"/>
      <c r="CZ1490" s="4"/>
      <c r="DA1490" s="4"/>
      <c r="DB1490" s="4"/>
      <c r="DC1490" s="4"/>
      <c r="DD1490" s="4"/>
      <c r="DE1490" s="4"/>
      <c r="DF1490" s="4"/>
      <c r="DG1490" s="4"/>
      <c r="DH1490" s="4"/>
      <c r="DI1490" s="4"/>
      <c r="DJ1490" s="4"/>
      <c r="DK1490" s="4"/>
      <c r="DL1490" s="4"/>
      <c r="DM1490" s="4"/>
      <c r="DN1490" s="4"/>
      <c r="DO1490" s="4"/>
      <c r="DP1490" s="4"/>
      <c r="DQ1490" s="4"/>
      <c r="DR1490" s="4"/>
      <c r="DS1490" s="4"/>
      <c r="DT1490" s="4"/>
      <c r="DU1490" s="4"/>
      <c r="DV1490" s="4"/>
      <c r="DW1490" s="4"/>
      <c r="DX1490" s="4"/>
      <c r="DY1490" s="4"/>
      <c r="DZ1490" s="4"/>
      <c r="EA1490" s="4"/>
      <c r="EB1490" s="4"/>
      <c r="EC1490" s="4"/>
      <c r="ED1490" s="4"/>
      <c r="EE1490" s="4"/>
      <c r="EF1490" s="4"/>
      <c r="EG1490" s="4"/>
      <c r="EH1490" s="4"/>
      <c r="EI1490" s="4"/>
      <c r="EJ1490" s="4"/>
    </row>
    <row r="1491" spans="1:145" hidden="1">
      <c r="A1491" s="11" t="s">
        <v>9940</v>
      </c>
      <c r="B1491" s="3" t="s">
        <v>8373</v>
      </c>
      <c r="C1491" s="3">
        <v>2013</v>
      </c>
      <c r="D1491" s="3" t="s">
        <v>9693</v>
      </c>
      <c r="E1491" s="3" t="s">
        <v>9694</v>
      </c>
      <c r="F1491" s="3">
        <v>0</v>
      </c>
      <c r="G1491" s="3" t="s">
        <v>9265</v>
      </c>
      <c r="H1491" s="3" t="s">
        <v>9696</v>
      </c>
      <c r="I1491" s="3"/>
      <c r="J1491" s="3"/>
      <c r="K1491" s="3" t="s">
        <v>1896</v>
      </c>
      <c r="L1491" s="4"/>
      <c r="M1491" s="3" t="s">
        <v>9695</v>
      </c>
      <c r="T1491" s="3" t="s">
        <v>3401</v>
      </c>
      <c r="V1491" s="4"/>
      <c r="W1491" s="4"/>
      <c r="X1491" s="5" t="s">
        <v>3404</v>
      </c>
      <c r="Y1491" s="5"/>
      <c r="Z1491" s="4"/>
      <c r="AA1491" s="4"/>
      <c r="AB1491" s="4"/>
      <c r="AE1491" s="4"/>
      <c r="AF1491" s="4"/>
      <c r="AG1491" s="3"/>
      <c r="AH1491" s="3"/>
      <c r="AI1491" s="3"/>
      <c r="AJ1491" s="3"/>
      <c r="AK1491" s="4"/>
      <c r="AL1491" s="3"/>
      <c r="AM1491" s="4"/>
      <c r="AN1491" s="3"/>
      <c r="AO1491" s="3"/>
      <c r="AP1491" s="4"/>
      <c r="AQ1491" s="3"/>
      <c r="AR1491" s="4"/>
      <c r="AS1491" s="4"/>
      <c r="AT1491" s="4"/>
      <c r="AU1491" s="4"/>
      <c r="AV1491" s="4"/>
      <c r="AW1491" s="4"/>
      <c r="AX1491" s="4"/>
      <c r="AY1491" s="4"/>
      <c r="AZ1491" s="4"/>
      <c r="BA1491" s="4"/>
      <c r="BB1491" s="3"/>
      <c r="BC1491" s="3"/>
      <c r="BD1491" s="3"/>
      <c r="BE1491" s="4"/>
      <c r="BF1491" s="3"/>
      <c r="BG1491" s="4"/>
      <c r="BH1491" s="4"/>
      <c r="BI1491" s="3"/>
      <c r="BJ1491" s="4"/>
      <c r="BK1491" s="4"/>
      <c r="BL1491" s="4"/>
      <c r="BM1491" s="4"/>
      <c r="BN1491" s="4"/>
      <c r="BO1491" s="4"/>
      <c r="BP1491" s="4"/>
      <c r="BQ1491" s="4"/>
      <c r="BR1491" s="4"/>
      <c r="BS1491" s="4"/>
      <c r="BT1491" s="4"/>
      <c r="BU1491" s="4"/>
      <c r="BV1491" s="4"/>
      <c r="BW1491" s="4"/>
      <c r="BX1491" s="4"/>
      <c r="BY1491" s="4"/>
      <c r="BZ1491" s="4"/>
      <c r="CA1491" s="4"/>
      <c r="CB1491" s="4"/>
      <c r="CC1491" s="4"/>
      <c r="CD1491" s="4"/>
      <c r="CE1491" s="4"/>
      <c r="CF1491" s="4"/>
      <c r="CG1491" s="4"/>
      <c r="CH1491" s="3"/>
      <c r="CI1491" s="3"/>
      <c r="CJ1491" s="4"/>
      <c r="CK1491" s="4"/>
      <c r="CL1491" s="4"/>
      <c r="CM1491" s="4"/>
      <c r="CN1491" s="4"/>
      <c r="CO1491" s="4"/>
      <c r="CP1491" s="4"/>
      <c r="CQ1491" s="4"/>
      <c r="CR1491" s="4"/>
      <c r="CS1491" s="4"/>
      <c r="CT1491" s="4"/>
      <c r="CU1491" s="4"/>
      <c r="CV1491" s="4"/>
      <c r="CW1491" s="4"/>
      <c r="CX1491" s="4"/>
      <c r="CY1491" s="4"/>
      <c r="CZ1491" s="4"/>
      <c r="DA1491" s="4"/>
      <c r="DB1491" s="4"/>
      <c r="DC1491" s="4"/>
      <c r="DD1491" s="4"/>
      <c r="DE1491" s="4"/>
      <c r="DF1491" s="4"/>
      <c r="DG1491" s="4"/>
      <c r="DH1491" s="4"/>
      <c r="DI1491" s="4"/>
      <c r="DJ1491" s="4"/>
      <c r="DK1491" s="4"/>
      <c r="DL1491" s="4"/>
      <c r="DM1491" s="4"/>
      <c r="DN1491" s="4"/>
      <c r="DO1491" s="4"/>
      <c r="DP1491" s="4"/>
      <c r="DQ1491" s="4"/>
      <c r="DR1491" s="4"/>
      <c r="DS1491" s="4"/>
      <c r="DT1491" s="4"/>
      <c r="DU1491" s="4"/>
    </row>
    <row r="1492" spans="1:145" hidden="1">
      <c r="A1492" s="11" t="s">
        <v>9940</v>
      </c>
      <c r="B1492" s="3" t="s">
        <v>8379</v>
      </c>
      <c r="C1492" s="3">
        <v>2011</v>
      </c>
      <c r="D1492" s="3" t="s">
        <v>5299</v>
      </c>
      <c r="E1492" s="3" t="s">
        <v>9024</v>
      </c>
      <c r="F1492" s="3">
        <v>1</v>
      </c>
      <c r="G1492" s="4"/>
      <c r="H1492" s="3" t="s">
        <v>9025</v>
      </c>
      <c r="I1492" s="3"/>
      <c r="J1492" s="3"/>
      <c r="K1492" s="4"/>
      <c r="L1492" s="4"/>
      <c r="M1492" s="4"/>
      <c r="T1492" s="4"/>
      <c r="V1492" s="3"/>
      <c r="W1492" s="3"/>
      <c r="X1492" s="5" t="s">
        <v>5303</v>
      </c>
      <c r="Y1492" s="5"/>
      <c r="Z1492" s="3">
        <v>1</v>
      </c>
      <c r="AA1492" s="4"/>
      <c r="AB1492" s="3"/>
      <c r="AE1492" s="3"/>
      <c r="AF1492" s="3"/>
      <c r="AG1492" s="3"/>
      <c r="AH1492" s="4"/>
      <c r="AI1492" s="4"/>
      <c r="AJ1492" s="4"/>
      <c r="AK1492" s="3"/>
      <c r="AL1492" s="3"/>
      <c r="AM1492" s="3"/>
      <c r="AN1492" s="3"/>
      <c r="AO1492" s="4"/>
      <c r="AP1492" s="4"/>
      <c r="AQ1492" s="3"/>
      <c r="AR1492" s="4"/>
      <c r="AS1492" s="4"/>
      <c r="AT1492" s="4"/>
      <c r="AU1492" s="4"/>
      <c r="AV1492" s="4"/>
      <c r="AW1492" s="4"/>
      <c r="AX1492" s="4"/>
      <c r="AY1492" s="4"/>
      <c r="AZ1492" s="4"/>
      <c r="BA1492" s="3"/>
      <c r="BB1492" s="4"/>
      <c r="BC1492" s="3"/>
      <c r="BD1492" s="3"/>
      <c r="BE1492" s="3"/>
      <c r="BF1492" s="4"/>
      <c r="BG1492" s="3"/>
      <c r="BH1492" s="3"/>
      <c r="BI1492" s="4"/>
      <c r="BJ1492" s="4"/>
      <c r="BK1492" s="4"/>
      <c r="BL1492" s="4"/>
      <c r="BM1492" s="4"/>
      <c r="BN1492" s="4"/>
      <c r="BO1492" s="4"/>
      <c r="BP1492" s="4"/>
      <c r="BQ1492" s="4"/>
      <c r="BR1492" s="4"/>
      <c r="BS1492" s="4"/>
      <c r="BT1492" s="4"/>
      <c r="BU1492" s="4"/>
      <c r="BV1492" s="4"/>
      <c r="BW1492" s="4"/>
      <c r="BX1492" s="4"/>
      <c r="BY1492" s="4"/>
      <c r="BZ1492" s="4"/>
      <c r="CA1492" s="4"/>
      <c r="CB1492" s="4"/>
      <c r="CC1492" s="4"/>
      <c r="CD1492" s="4"/>
      <c r="CE1492" s="4"/>
      <c r="CF1492" s="4"/>
      <c r="CG1492" s="4"/>
      <c r="CH1492" s="4"/>
      <c r="CI1492" s="4"/>
      <c r="CJ1492" s="4"/>
      <c r="CK1492" s="4"/>
      <c r="CL1492" s="4"/>
      <c r="CM1492" s="4"/>
      <c r="CN1492" s="4"/>
      <c r="CO1492" s="4"/>
      <c r="CP1492" s="4"/>
      <c r="CQ1492" s="4"/>
      <c r="CR1492" s="4"/>
      <c r="CS1492" s="4"/>
      <c r="CT1492" s="4"/>
      <c r="CU1492" s="4"/>
      <c r="CV1492" s="4"/>
      <c r="CW1492" s="4"/>
      <c r="CX1492" s="4"/>
      <c r="CY1492" s="4"/>
      <c r="CZ1492" s="4"/>
      <c r="DA1492" s="4"/>
      <c r="DB1492" s="3"/>
      <c r="DC1492" s="3"/>
      <c r="DD1492" s="3"/>
      <c r="DE1492" s="4"/>
      <c r="DF1492" s="4"/>
      <c r="DG1492" s="4"/>
      <c r="DH1492" s="4"/>
      <c r="DI1492" s="3"/>
      <c r="DJ1492" s="3"/>
      <c r="DK1492" s="3"/>
      <c r="DL1492" s="3"/>
      <c r="DM1492" s="4"/>
      <c r="DN1492" s="4"/>
      <c r="DO1492" s="4"/>
      <c r="DP1492" s="4"/>
      <c r="DQ1492" s="4"/>
      <c r="DR1492" s="4"/>
      <c r="DS1492" s="4"/>
      <c r="DT1492" s="4"/>
      <c r="DU1492" s="4"/>
      <c r="DV1492" s="4"/>
      <c r="DW1492" s="4"/>
      <c r="DX1492" s="4"/>
      <c r="DY1492" s="4"/>
      <c r="DZ1492" s="4"/>
      <c r="EA1492" s="4"/>
      <c r="EB1492" s="4"/>
      <c r="EC1492" s="4"/>
      <c r="ED1492" s="4"/>
      <c r="EE1492" s="4"/>
      <c r="EF1492" s="4"/>
      <c r="EG1492" s="3"/>
      <c r="EH1492" s="3"/>
      <c r="EI1492" s="3"/>
      <c r="EJ1492" s="3"/>
      <c r="EK1492" s="3"/>
      <c r="EL1492" s="3"/>
      <c r="EM1492" s="4"/>
      <c r="EN1492" s="4"/>
      <c r="EO1492" s="3"/>
    </row>
    <row r="1493" spans="1:145" hidden="1">
      <c r="A1493" s="11" t="s">
        <v>9940</v>
      </c>
      <c r="B1493" s="3" t="s">
        <v>8373</v>
      </c>
      <c r="C1493" s="3">
        <v>2003</v>
      </c>
      <c r="D1493" s="3" t="s">
        <v>2350</v>
      </c>
      <c r="E1493" s="3" t="s">
        <v>9697</v>
      </c>
      <c r="F1493" s="3">
        <v>0</v>
      </c>
      <c r="G1493" s="3" t="s">
        <v>9237</v>
      </c>
      <c r="H1493" s="3" t="s">
        <v>9698</v>
      </c>
      <c r="I1493" s="3"/>
      <c r="J1493" s="3"/>
      <c r="K1493" s="3" t="s">
        <v>2351</v>
      </c>
      <c r="L1493" s="4"/>
      <c r="M1493" s="3" t="s">
        <v>9273</v>
      </c>
      <c r="T1493" s="3" t="s">
        <v>2353</v>
      </c>
      <c r="V1493" s="4"/>
      <c r="W1493" s="4"/>
      <c r="X1493" s="5" t="s">
        <v>2356</v>
      </c>
      <c r="Y1493" s="5"/>
      <c r="Z1493" s="4"/>
      <c r="AA1493" s="4"/>
      <c r="AB1493" s="4"/>
      <c r="AE1493" s="4"/>
      <c r="AF1493" s="4"/>
      <c r="AG1493" s="3"/>
      <c r="AH1493" s="3"/>
      <c r="AI1493" s="3"/>
      <c r="AJ1493" s="3"/>
      <c r="AK1493" s="4"/>
      <c r="AL1493" s="3"/>
      <c r="AM1493" s="4"/>
      <c r="AN1493" s="3"/>
      <c r="AO1493" s="3"/>
      <c r="AP1493" s="4"/>
      <c r="AQ1493" s="3"/>
      <c r="AR1493" s="4"/>
      <c r="AS1493" s="4"/>
      <c r="AT1493" s="4"/>
      <c r="AU1493" s="4"/>
      <c r="AV1493" s="4"/>
      <c r="AW1493" s="4"/>
      <c r="AX1493" s="4"/>
      <c r="AY1493" s="4"/>
      <c r="AZ1493" s="4"/>
      <c r="BA1493" s="4"/>
      <c r="BB1493" s="3"/>
      <c r="BC1493" s="3"/>
      <c r="BD1493" s="3"/>
      <c r="BE1493" s="4"/>
      <c r="BF1493" s="3"/>
      <c r="BG1493" s="4"/>
      <c r="BH1493" s="3"/>
      <c r="BI1493" s="4"/>
      <c r="BJ1493" s="4"/>
      <c r="BK1493" s="4"/>
      <c r="BL1493" s="4"/>
      <c r="BM1493" s="4"/>
      <c r="BN1493" s="4"/>
      <c r="BO1493" s="4"/>
      <c r="BP1493" s="4"/>
      <c r="BQ1493" s="4"/>
      <c r="BR1493" s="4"/>
      <c r="BS1493" s="4"/>
      <c r="BT1493" s="4"/>
      <c r="BU1493" s="4"/>
      <c r="BV1493" s="4"/>
      <c r="BW1493" s="4"/>
      <c r="BX1493" s="4"/>
      <c r="BY1493" s="4"/>
      <c r="BZ1493" s="3"/>
      <c r="CA1493" s="3"/>
      <c r="CB1493" s="4"/>
      <c r="CC1493" s="4"/>
      <c r="CD1493" s="4"/>
      <c r="CE1493" s="4"/>
      <c r="CF1493" s="4"/>
      <c r="CG1493" s="4"/>
      <c r="CH1493" s="4"/>
      <c r="CI1493" s="4"/>
      <c r="CJ1493" s="4"/>
      <c r="CK1493" s="4"/>
      <c r="CL1493" s="4"/>
      <c r="CM1493" s="4"/>
      <c r="CN1493" s="4"/>
      <c r="CO1493" s="4"/>
      <c r="CP1493" s="4"/>
      <c r="CQ1493" s="4"/>
      <c r="CR1493" s="4"/>
      <c r="CS1493" s="4"/>
      <c r="CT1493" s="4"/>
      <c r="CU1493" s="4"/>
      <c r="CV1493" s="4"/>
      <c r="CW1493" s="4"/>
      <c r="CX1493" s="4"/>
      <c r="CY1493" s="4"/>
      <c r="CZ1493" s="4"/>
      <c r="DA1493" s="4"/>
      <c r="DB1493" s="4"/>
      <c r="DC1493" s="4"/>
      <c r="DD1493" s="4"/>
      <c r="DE1493" s="4"/>
      <c r="DF1493" s="4"/>
      <c r="DG1493" s="4"/>
      <c r="DH1493" s="4"/>
      <c r="DI1493" s="4"/>
      <c r="DJ1493" s="4"/>
      <c r="DK1493" s="4"/>
      <c r="DL1493" s="4"/>
      <c r="DM1493" s="4"/>
    </row>
    <row r="1494" spans="1:145" hidden="1">
      <c r="A1494" s="11" t="s">
        <v>9940</v>
      </c>
      <c r="B1494" s="3" t="s">
        <v>8373</v>
      </c>
      <c r="C1494" s="3">
        <v>1992</v>
      </c>
      <c r="D1494" s="3" t="s">
        <v>9026</v>
      </c>
      <c r="E1494" s="3" t="s">
        <v>9027</v>
      </c>
      <c r="F1494" s="3">
        <v>1</v>
      </c>
      <c r="G1494" s="3"/>
      <c r="H1494" s="3" t="s">
        <v>9031</v>
      </c>
      <c r="I1494" s="3"/>
      <c r="J1494" s="3"/>
      <c r="K1494" s="3" t="s">
        <v>3609</v>
      </c>
      <c r="L1494" s="4"/>
      <c r="M1494" s="3" t="s">
        <v>9028</v>
      </c>
      <c r="T1494" s="3" t="s">
        <v>9029</v>
      </c>
      <c r="V1494" s="3"/>
      <c r="W1494" s="3"/>
      <c r="X1494" s="5" t="s">
        <v>9030</v>
      </c>
      <c r="Y1494" s="5"/>
      <c r="Z1494" s="3">
        <v>1</v>
      </c>
      <c r="AA1494" s="4"/>
      <c r="AB1494" s="4"/>
      <c r="AE1494" s="3"/>
      <c r="AF1494" s="3"/>
      <c r="AG1494" s="4"/>
      <c r="AH1494" s="4"/>
      <c r="AI1494" s="4"/>
      <c r="AJ1494" s="4"/>
      <c r="AK1494" s="3"/>
      <c r="AL1494" s="3"/>
      <c r="AM1494" s="3"/>
      <c r="AN1494" s="3"/>
      <c r="AO1494" s="4"/>
      <c r="AP1494" s="3"/>
      <c r="AQ1494" s="4"/>
      <c r="AR1494" s="3"/>
      <c r="AS1494" s="3"/>
      <c r="AT1494" s="4"/>
      <c r="AU1494" s="3"/>
      <c r="AV1494" s="4"/>
      <c r="AW1494" s="4"/>
      <c r="AX1494" s="4"/>
      <c r="AY1494" s="4"/>
      <c r="AZ1494" s="4"/>
      <c r="BA1494" s="4"/>
      <c r="BB1494" s="4"/>
      <c r="BC1494" s="4"/>
      <c r="BD1494" s="4"/>
      <c r="BE1494" s="4"/>
      <c r="BF1494" s="3"/>
      <c r="BG1494" s="3"/>
      <c r="BH1494" s="3"/>
      <c r="BI1494" s="4"/>
      <c r="BJ1494" s="3"/>
      <c r="BK1494" s="4"/>
      <c r="BL1494" s="4"/>
      <c r="BM1494" s="3"/>
      <c r="BN1494" s="4"/>
      <c r="BO1494" s="4"/>
      <c r="BP1494" s="4"/>
      <c r="BQ1494" s="4"/>
      <c r="BR1494" s="4"/>
      <c r="BS1494" s="4"/>
      <c r="BT1494" s="4"/>
      <c r="BU1494" s="4"/>
      <c r="BV1494" s="4"/>
      <c r="BW1494" s="4"/>
      <c r="BX1494" s="4"/>
      <c r="BY1494" s="4"/>
      <c r="BZ1494" s="4"/>
      <c r="CA1494" s="4"/>
      <c r="CB1494" s="4"/>
      <c r="CC1494" s="4"/>
      <c r="CD1494" s="4"/>
      <c r="CE1494" s="4"/>
      <c r="CF1494" s="4"/>
      <c r="CG1494" s="4"/>
      <c r="CH1494" s="4"/>
      <c r="CI1494" s="4"/>
      <c r="CJ1494" s="4"/>
      <c r="CK1494" s="4"/>
      <c r="CL1494" s="4"/>
      <c r="CM1494" s="4"/>
      <c r="CN1494" s="4"/>
      <c r="CO1494" s="4"/>
      <c r="CP1494" s="4"/>
      <c r="CQ1494" s="4"/>
      <c r="CR1494" s="4"/>
      <c r="CS1494" s="4"/>
      <c r="CT1494" s="4"/>
      <c r="CU1494" s="4"/>
      <c r="CV1494" s="4"/>
      <c r="CW1494" s="4"/>
      <c r="CX1494" s="4"/>
      <c r="CY1494" s="3"/>
      <c r="CZ1494" s="3"/>
      <c r="DA1494" s="8"/>
      <c r="DB1494" s="4"/>
      <c r="DC1494" s="4"/>
      <c r="DD1494" s="4"/>
      <c r="DE1494" s="4"/>
      <c r="DF1494" s="8"/>
      <c r="DG1494" s="8"/>
      <c r="DH1494" s="8"/>
      <c r="DI1494" s="8"/>
      <c r="DJ1494" s="4"/>
      <c r="DK1494" s="4"/>
      <c r="DL1494" s="4"/>
      <c r="DM1494" s="4"/>
      <c r="DN1494" s="4"/>
      <c r="DO1494" s="4"/>
      <c r="DP1494" s="4"/>
      <c r="DQ1494" s="4"/>
      <c r="DR1494" s="4"/>
      <c r="DS1494" s="4"/>
      <c r="DT1494" s="4"/>
      <c r="DU1494" s="4"/>
      <c r="DV1494" s="4"/>
      <c r="DW1494" s="4"/>
      <c r="DX1494" s="4"/>
      <c r="DY1494" s="4"/>
      <c r="DZ1494" s="4"/>
      <c r="EA1494" s="4"/>
      <c r="EB1494" s="4"/>
      <c r="EC1494" s="4"/>
      <c r="ED1494" s="8"/>
      <c r="EE1494" s="8"/>
      <c r="EF1494" s="8"/>
      <c r="EG1494" s="8"/>
      <c r="EH1494" s="8"/>
      <c r="EI1494" s="8"/>
      <c r="EJ1494" s="4"/>
      <c r="EK1494" s="4"/>
      <c r="EL1494" s="4"/>
    </row>
    <row r="1495" spans="1:145" hidden="1">
      <c r="A1495" s="11" t="s">
        <v>9940</v>
      </c>
      <c r="B1495" s="3" t="s">
        <v>8373</v>
      </c>
      <c r="C1495" s="3">
        <v>2014</v>
      </c>
      <c r="D1495" s="3" t="s">
        <v>9699</v>
      </c>
      <c r="E1495" s="3" t="s">
        <v>9700</v>
      </c>
      <c r="F1495" s="3">
        <v>1</v>
      </c>
      <c r="G1495" s="3"/>
      <c r="H1495" s="3" t="s">
        <v>9701</v>
      </c>
      <c r="I1495" s="3"/>
      <c r="J1495" s="3"/>
      <c r="K1495" s="3" t="s">
        <v>132</v>
      </c>
      <c r="L1495" s="4"/>
      <c r="M1495" s="3" t="s">
        <v>8382</v>
      </c>
      <c r="T1495" s="3" t="s">
        <v>6276</v>
      </c>
      <c r="V1495" s="3"/>
      <c r="W1495" s="3"/>
      <c r="X1495" s="5" t="s">
        <v>6279</v>
      </c>
      <c r="Y1495" s="5"/>
      <c r="Z1495" s="3">
        <v>0</v>
      </c>
      <c r="AA1495" s="3" t="s">
        <v>9245</v>
      </c>
      <c r="AB1495" s="3"/>
      <c r="AE1495" s="3"/>
      <c r="AF1495" s="4"/>
      <c r="AG1495" s="4"/>
      <c r="AH1495" s="4"/>
      <c r="AI1495" s="4"/>
      <c r="AJ1495" s="4"/>
      <c r="AK1495" s="3"/>
      <c r="AL1495" s="3"/>
      <c r="AM1495" s="3"/>
      <c r="AN1495" s="3"/>
      <c r="AO1495" s="4"/>
      <c r="AP1495" s="3"/>
      <c r="AQ1495" s="4"/>
      <c r="AR1495" s="4"/>
      <c r="AS1495" s="3"/>
      <c r="AT1495" s="4"/>
      <c r="AU1495" s="3"/>
      <c r="AV1495" s="4"/>
      <c r="AW1495" s="4"/>
      <c r="AX1495" s="4"/>
      <c r="AY1495" s="4"/>
      <c r="AZ1495" s="4"/>
      <c r="BA1495" s="4"/>
      <c r="BB1495" s="4"/>
      <c r="BC1495" s="4"/>
      <c r="BD1495" s="4"/>
      <c r="BE1495" s="4"/>
      <c r="BF1495" s="3"/>
      <c r="BG1495" s="3"/>
      <c r="BH1495" s="3"/>
      <c r="BI1495" s="4"/>
      <c r="BJ1495" s="3"/>
      <c r="BK1495" s="4"/>
      <c r="BL1495" s="4"/>
      <c r="BM1495" s="3"/>
      <c r="BN1495" s="4"/>
      <c r="BO1495" s="4"/>
      <c r="BP1495" s="4"/>
      <c r="BQ1495" s="4"/>
      <c r="BR1495" s="4"/>
      <c r="BS1495" s="4"/>
      <c r="BT1495" s="4"/>
      <c r="BU1495" s="4"/>
      <c r="BV1495" s="4"/>
      <c r="BW1495" s="4"/>
      <c r="BX1495" s="4"/>
      <c r="BY1495" s="4"/>
      <c r="BZ1495" s="4"/>
      <c r="CA1495" s="4"/>
      <c r="CB1495" s="4"/>
      <c r="CC1495" s="4"/>
      <c r="CD1495" s="4"/>
      <c r="CE1495" s="4"/>
      <c r="CF1495" s="4"/>
      <c r="CG1495" s="4"/>
      <c r="CH1495" s="4"/>
      <c r="CI1495" s="4"/>
      <c r="CJ1495" s="4"/>
      <c r="CK1495" s="4"/>
      <c r="CL1495" s="4"/>
      <c r="CM1495" s="4"/>
      <c r="CN1495" s="4"/>
      <c r="CO1495" s="4"/>
      <c r="CP1495" s="4"/>
      <c r="CQ1495" s="4"/>
      <c r="CR1495" s="4"/>
      <c r="CS1495" s="4"/>
      <c r="CT1495" s="4"/>
      <c r="CU1495" s="4"/>
      <c r="CV1495" s="4"/>
      <c r="CW1495" s="4"/>
      <c r="CX1495" s="3"/>
      <c r="CY1495" s="3"/>
      <c r="CZ1495" s="4"/>
      <c r="DA1495" s="4"/>
      <c r="DB1495" s="4"/>
      <c r="DC1495" s="4"/>
      <c r="DD1495" s="4"/>
      <c r="DE1495" s="4"/>
      <c r="DF1495" s="4"/>
      <c r="DG1495" s="4"/>
      <c r="DH1495" s="4"/>
      <c r="DI1495" s="4"/>
      <c r="DJ1495" s="4"/>
      <c r="DK1495" s="4"/>
      <c r="DL1495" s="4"/>
      <c r="DM1495" s="4"/>
      <c r="DN1495" s="4"/>
      <c r="DO1495" s="4"/>
      <c r="DP1495" s="4"/>
      <c r="DQ1495" s="4"/>
      <c r="DR1495" s="4"/>
      <c r="DS1495" s="4"/>
      <c r="DT1495" s="4"/>
      <c r="DU1495" s="4"/>
      <c r="DV1495" s="4"/>
      <c r="DW1495" s="4"/>
      <c r="DX1495" s="4"/>
      <c r="DY1495" s="4"/>
      <c r="DZ1495" s="4"/>
      <c r="EA1495" s="4"/>
      <c r="EB1495" s="4"/>
      <c r="EC1495" s="4"/>
      <c r="ED1495" s="4"/>
      <c r="EE1495" s="4"/>
      <c r="EF1495" s="4"/>
      <c r="EG1495" s="4"/>
      <c r="EH1495" s="4"/>
      <c r="EI1495" s="4"/>
      <c r="EJ1495" s="4"/>
      <c r="EK1495" s="4"/>
    </row>
    <row r="1496" spans="1:145" hidden="1">
      <c r="A1496" s="11" t="s">
        <v>9940</v>
      </c>
      <c r="B1496" s="3" t="s">
        <v>8379</v>
      </c>
      <c r="C1496" s="3">
        <v>2014</v>
      </c>
      <c r="D1496" s="3" t="s">
        <v>7472</v>
      </c>
      <c r="E1496" s="3" t="s">
        <v>9702</v>
      </c>
      <c r="F1496" s="3">
        <v>1</v>
      </c>
      <c r="G1496" s="4"/>
      <c r="H1496" s="3" t="s">
        <v>7475</v>
      </c>
      <c r="I1496" s="3"/>
      <c r="J1496" s="3"/>
      <c r="K1496" s="4"/>
      <c r="L1496" s="4"/>
      <c r="M1496" s="4"/>
      <c r="T1496" s="4"/>
      <c r="V1496" s="3"/>
      <c r="W1496" s="3"/>
      <c r="X1496" s="5" t="s">
        <v>7476</v>
      </c>
      <c r="Y1496" s="5"/>
      <c r="Z1496" s="3">
        <v>0</v>
      </c>
      <c r="AA1496" s="3" t="s">
        <v>9265</v>
      </c>
      <c r="AB1496" s="4"/>
      <c r="AE1496" s="3"/>
      <c r="AF1496" s="4"/>
      <c r="AG1496" s="4"/>
      <c r="AH1496" s="4"/>
      <c r="AI1496" s="4"/>
      <c r="AJ1496" s="4"/>
      <c r="AK1496" s="3"/>
      <c r="AL1496" s="3"/>
      <c r="AM1496" s="3"/>
      <c r="AN1496" s="3"/>
      <c r="AO1496" s="4"/>
      <c r="AP1496" s="4"/>
      <c r="AQ1496" s="4"/>
      <c r="AR1496" s="4"/>
      <c r="AS1496" s="4"/>
      <c r="AT1496" s="4"/>
      <c r="AU1496" s="4"/>
      <c r="AV1496" s="4"/>
      <c r="AW1496" s="4"/>
      <c r="AX1496" s="4"/>
      <c r="AY1496" s="4"/>
      <c r="AZ1496" s="4"/>
      <c r="BA1496" s="3"/>
      <c r="BB1496" s="4"/>
      <c r="BC1496" s="3"/>
      <c r="BD1496" s="3"/>
      <c r="BE1496" s="3"/>
      <c r="BF1496" s="4"/>
      <c r="BG1496" s="3"/>
      <c r="BH1496" s="3"/>
      <c r="BI1496" s="4"/>
      <c r="BJ1496" s="4"/>
      <c r="BK1496" s="4"/>
      <c r="BL1496" s="4"/>
      <c r="BM1496" s="4"/>
      <c r="BN1496" s="4"/>
      <c r="BO1496" s="4"/>
      <c r="BP1496" s="4"/>
      <c r="BQ1496" s="4"/>
      <c r="BR1496" s="4"/>
      <c r="BS1496" s="4"/>
      <c r="BT1496" s="4"/>
      <c r="BU1496" s="4"/>
      <c r="BV1496" s="4"/>
      <c r="BW1496" s="4"/>
      <c r="BX1496" s="4"/>
      <c r="BY1496" s="4"/>
      <c r="BZ1496" s="4"/>
      <c r="CA1496" s="4"/>
      <c r="CB1496" s="4"/>
      <c r="CC1496" s="4"/>
      <c r="CD1496" s="4"/>
      <c r="CE1496" s="4"/>
      <c r="CF1496" s="4"/>
      <c r="CG1496" s="4"/>
      <c r="CH1496" s="4"/>
      <c r="CI1496" s="4"/>
      <c r="CJ1496" s="4"/>
      <c r="CK1496" s="4"/>
      <c r="CL1496" s="4"/>
      <c r="CM1496" s="4"/>
      <c r="CN1496" s="4"/>
      <c r="CO1496" s="4"/>
      <c r="CP1496" s="4"/>
      <c r="CQ1496" s="4"/>
      <c r="CR1496" s="4"/>
      <c r="CS1496" s="4"/>
      <c r="CT1496" s="4"/>
      <c r="CU1496" s="4"/>
      <c r="CV1496" s="4"/>
      <c r="CW1496" s="4"/>
      <c r="CX1496" s="3"/>
      <c r="CY1496" s="3"/>
      <c r="CZ1496" s="4"/>
      <c r="DA1496" s="4"/>
      <c r="DB1496" s="4"/>
      <c r="DC1496" s="4"/>
      <c r="DD1496" s="4"/>
      <c r="DE1496" s="4"/>
      <c r="DF1496" s="4"/>
      <c r="DG1496" s="4"/>
      <c r="DH1496" s="4"/>
      <c r="DI1496" s="4"/>
      <c r="DJ1496" s="4"/>
      <c r="DK1496" s="4"/>
      <c r="DL1496" s="4"/>
      <c r="DM1496" s="4"/>
      <c r="DN1496" s="4"/>
      <c r="DO1496" s="4"/>
      <c r="DP1496" s="4"/>
      <c r="DQ1496" s="4"/>
      <c r="DR1496" s="4"/>
      <c r="DS1496" s="4"/>
      <c r="DT1496" s="4"/>
      <c r="DU1496" s="4"/>
      <c r="DV1496" s="4"/>
      <c r="DW1496" s="4"/>
      <c r="DX1496" s="4"/>
      <c r="DY1496" s="4"/>
      <c r="DZ1496" s="4"/>
      <c r="EA1496" s="4"/>
      <c r="EB1496" s="4"/>
      <c r="EC1496" s="4"/>
      <c r="ED1496" s="4"/>
      <c r="EE1496" s="4"/>
      <c r="EF1496" s="4"/>
      <c r="EG1496" s="4"/>
      <c r="EH1496" s="4"/>
      <c r="EI1496" s="4"/>
      <c r="EJ1496" s="4"/>
      <c r="EK1496" s="4"/>
    </row>
    <row r="1497" spans="1:145" hidden="1">
      <c r="A1497" s="11" t="s">
        <v>9940</v>
      </c>
      <c r="B1497" s="3" t="s">
        <v>8373</v>
      </c>
      <c r="C1497" s="3">
        <v>2012</v>
      </c>
      <c r="D1497" s="3" t="s">
        <v>8061</v>
      </c>
      <c r="E1497" s="3" t="s">
        <v>9703</v>
      </c>
      <c r="F1497" s="3">
        <v>0</v>
      </c>
      <c r="G1497" s="3" t="s">
        <v>9178</v>
      </c>
      <c r="H1497" s="3" t="s">
        <v>9704</v>
      </c>
      <c r="I1497" s="3"/>
      <c r="J1497" s="3"/>
      <c r="K1497" s="3" t="s">
        <v>48</v>
      </c>
      <c r="L1497" s="4"/>
      <c r="M1497" s="3" t="s">
        <v>9357</v>
      </c>
      <c r="T1497" s="3" t="s">
        <v>8063</v>
      </c>
      <c r="V1497" s="4"/>
      <c r="W1497" s="4"/>
      <c r="X1497" s="5" t="s">
        <v>8066</v>
      </c>
      <c r="Y1497" s="5"/>
      <c r="Z1497" s="4"/>
      <c r="AA1497" s="4"/>
      <c r="AB1497" s="4"/>
      <c r="AE1497" s="4"/>
      <c r="AF1497" s="4"/>
      <c r="AG1497" s="3"/>
      <c r="AH1497" s="3"/>
      <c r="AI1497" s="3"/>
      <c r="AJ1497" s="3"/>
      <c r="AK1497" s="4"/>
      <c r="AL1497" s="3"/>
      <c r="AM1497" s="4"/>
      <c r="AN1497" s="3"/>
      <c r="AO1497" s="3"/>
      <c r="AP1497" s="4"/>
      <c r="AQ1497" s="3"/>
      <c r="AR1497" s="4"/>
      <c r="AS1497" s="4"/>
      <c r="AT1497" s="4"/>
      <c r="AU1497" s="4"/>
      <c r="AV1497" s="4"/>
      <c r="AW1497" s="4"/>
      <c r="AX1497" s="4"/>
      <c r="AY1497" s="4"/>
      <c r="AZ1497" s="4"/>
      <c r="BA1497" s="4"/>
      <c r="BB1497" s="3"/>
      <c r="BC1497" s="3"/>
      <c r="BD1497" s="3"/>
      <c r="BE1497" s="4"/>
      <c r="BF1497" s="3"/>
      <c r="BG1497" s="4"/>
      <c r="BH1497" s="4"/>
      <c r="BI1497" s="3"/>
      <c r="BJ1497" s="4"/>
      <c r="BK1497" s="4"/>
      <c r="BL1497" s="4"/>
      <c r="BM1497" s="4"/>
      <c r="BN1497" s="4"/>
      <c r="BO1497" s="4"/>
      <c r="BP1497" s="4"/>
      <c r="BQ1497" s="4"/>
      <c r="BR1497" s="4"/>
      <c r="BS1497" s="4"/>
      <c r="BT1497" s="4"/>
      <c r="BU1497" s="4"/>
      <c r="BV1497" s="4"/>
      <c r="BW1497" s="4"/>
      <c r="BX1497" s="4"/>
      <c r="BY1497" s="4"/>
      <c r="BZ1497" s="4"/>
      <c r="CA1497" s="4"/>
      <c r="CB1497" s="4"/>
      <c r="CC1497" s="4"/>
      <c r="CD1497" s="4"/>
      <c r="CE1497" s="4"/>
      <c r="CF1497" s="4"/>
      <c r="CG1497" s="4"/>
      <c r="CH1497" s="4"/>
      <c r="CI1497" s="4"/>
      <c r="CJ1497" s="4"/>
      <c r="CK1497" s="4"/>
      <c r="CL1497" s="4"/>
      <c r="CM1497" s="4"/>
      <c r="CN1497" s="4"/>
      <c r="CO1497" s="4"/>
      <c r="CP1497" s="4"/>
      <c r="CQ1497" s="4"/>
      <c r="CR1497" s="4"/>
      <c r="CS1497" s="4"/>
      <c r="CT1497" s="4"/>
      <c r="CU1497" s="3"/>
      <c r="CV1497" s="3"/>
      <c r="CW1497" s="4"/>
      <c r="CX1497" s="4"/>
      <c r="CY1497" s="4"/>
      <c r="CZ1497" s="4"/>
      <c r="DA1497" s="4"/>
      <c r="DB1497" s="4"/>
      <c r="DC1497" s="4"/>
      <c r="DD1497" s="4"/>
      <c r="DE1497" s="4"/>
      <c r="DF1497" s="4"/>
      <c r="DG1497" s="4"/>
      <c r="DH1497" s="4"/>
      <c r="DI1497" s="4"/>
      <c r="DJ1497" s="4"/>
      <c r="DK1497" s="4"/>
      <c r="DL1497" s="4"/>
      <c r="DM1497" s="4"/>
      <c r="DN1497" s="4"/>
      <c r="DO1497" s="4"/>
      <c r="DP1497" s="4"/>
      <c r="DQ1497" s="4"/>
      <c r="DR1497" s="4"/>
      <c r="DS1497" s="4"/>
      <c r="DT1497" s="4"/>
      <c r="DU1497" s="4"/>
      <c r="DV1497" s="4"/>
      <c r="DW1497" s="4"/>
      <c r="DX1497" s="4"/>
      <c r="DY1497" s="4"/>
      <c r="DZ1497" s="4"/>
      <c r="EA1497" s="4"/>
      <c r="EB1497" s="4"/>
      <c r="EC1497" s="4"/>
      <c r="ED1497" s="4"/>
      <c r="EE1497" s="4"/>
      <c r="EF1497" s="4"/>
      <c r="EG1497" s="4"/>
      <c r="EH1497" s="4"/>
    </row>
    <row r="1498" spans="1:145" hidden="1">
      <c r="A1498" s="11" t="s">
        <v>9940</v>
      </c>
      <c r="B1498" s="3" t="s">
        <v>8373</v>
      </c>
      <c r="C1498" s="3">
        <v>2010</v>
      </c>
      <c r="D1498" s="3" t="s">
        <v>6225</v>
      </c>
      <c r="E1498" s="3" t="s">
        <v>9705</v>
      </c>
      <c r="F1498" s="3">
        <v>0</v>
      </c>
      <c r="G1498" s="3" t="s">
        <v>9178</v>
      </c>
      <c r="H1498" s="3" t="s">
        <v>9706</v>
      </c>
      <c r="I1498" s="3"/>
      <c r="J1498" s="3"/>
      <c r="K1498" s="3" t="s">
        <v>664</v>
      </c>
      <c r="L1498" s="4"/>
      <c r="M1498" s="3" t="s">
        <v>9466</v>
      </c>
      <c r="T1498" s="3" t="s">
        <v>6227</v>
      </c>
      <c r="V1498" s="4"/>
      <c r="W1498" s="4"/>
      <c r="X1498" s="5" t="s">
        <v>6230</v>
      </c>
      <c r="Y1498" s="5"/>
      <c r="Z1498" s="4"/>
      <c r="AA1498" s="4"/>
      <c r="AB1498" s="4"/>
      <c r="AE1498" s="4"/>
      <c r="AF1498" s="4"/>
      <c r="AG1498" s="3"/>
      <c r="AH1498" s="3"/>
      <c r="AI1498" s="3"/>
      <c r="AJ1498" s="3"/>
      <c r="AK1498" s="4"/>
      <c r="AL1498" s="3"/>
      <c r="AM1498" s="4"/>
      <c r="AN1498" s="3"/>
      <c r="AO1498" s="3"/>
      <c r="AP1498" s="4"/>
      <c r="AQ1498" s="3"/>
      <c r="AR1498" s="4"/>
      <c r="AS1498" s="4"/>
      <c r="AT1498" s="4"/>
      <c r="AU1498" s="4"/>
      <c r="AV1498" s="4"/>
      <c r="AW1498" s="4"/>
      <c r="AX1498" s="4"/>
      <c r="AY1498" s="4"/>
      <c r="AZ1498" s="4"/>
      <c r="BA1498" s="4"/>
      <c r="BB1498" s="3"/>
      <c r="BC1498" s="3"/>
      <c r="BD1498" s="3"/>
      <c r="BE1498" s="4"/>
      <c r="BF1498" s="3"/>
      <c r="BG1498" s="4"/>
      <c r="BH1498" s="4"/>
      <c r="BI1498" s="3"/>
      <c r="BJ1498" s="4"/>
      <c r="BK1498" s="4"/>
      <c r="BL1498" s="4"/>
      <c r="BM1498" s="4"/>
      <c r="BN1498" s="4"/>
      <c r="BO1498" s="4"/>
      <c r="BP1498" s="4"/>
      <c r="BQ1498" s="3"/>
      <c r="BR1498" s="3"/>
      <c r="BS1498" s="4"/>
      <c r="BT1498" s="4"/>
      <c r="BU1498" s="4"/>
      <c r="BV1498" s="4"/>
      <c r="BW1498" s="4"/>
      <c r="BX1498" s="4"/>
      <c r="BY1498" s="4"/>
      <c r="BZ1498" s="4"/>
      <c r="CA1498" s="4"/>
      <c r="CB1498" s="4"/>
      <c r="CC1498" s="4"/>
      <c r="CD1498" s="4"/>
      <c r="CE1498" s="4"/>
      <c r="CF1498" s="4"/>
      <c r="CG1498" s="4"/>
      <c r="CH1498" s="4"/>
      <c r="CI1498" s="4"/>
      <c r="CJ1498" s="4"/>
      <c r="CK1498" s="4"/>
      <c r="CL1498" s="4"/>
      <c r="CM1498" s="4"/>
      <c r="CN1498" s="4"/>
      <c r="CO1498" s="4"/>
      <c r="CP1498" s="4"/>
      <c r="CQ1498" s="4"/>
      <c r="CR1498" s="4"/>
      <c r="CS1498" s="4"/>
      <c r="CT1498" s="4"/>
      <c r="CU1498" s="4"/>
      <c r="CV1498" s="4"/>
      <c r="CW1498" s="4"/>
      <c r="CX1498" s="4"/>
      <c r="CY1498" s="4"/>
      <c r="CZ1498" s="4"/>
      <c r="DA1498" s="4"/>
      <c r="DB1498" s="4"/>
      <c r="DC1498" s="4"/>
      <c r="DD1498" s="4"/>
    </row>
    <row r="1499" spans="1:145" hidden="1">
      <c r="A1499" s="11" t="s">
        <v>9940</v>
      </c>
      <c r="B1499" s="3" t="s">
        <v>8379</v>
      </c>
      <c r="C1499" s="3">
        <v>2005</v>
      </c>
      <c r="D1499" s="3" t="s">
        <v>9032</v>
      </c>
      <c r="E1499" s="3" t="s">
        <v>9033</v>
      </c>
      <c r="F1499" s="3">
        <v>1</v>
      </c>
      <c r="G1499" s="4"/>
      <c r="H1499" s="3" t="s">
        <v>9035</v>
      </c>
      <c r="I1499" s="3"/>
      <c r="J1499" s="3"/>
      <c r="K1499" s="4"/>
      <c r="L1499" s="4"/>
      <c r="M1499" s="4"/>
      <c r="T1499" s="4"/>
      <c r="V1499" s="3"/>
      <c r="W1499" s="4"/>
      <c r="X1499" s="5" t="s">
        <v>9034</v>
      </c>
      <c r="Y1499" s="5"/>
      <c r="Z1499" s="3">
        <v>1</v>
      </c>
      <c r="AA1499" s="4"/>
      <c r="AB1499" s="4"/>
      <c r="AE1499" s="3"/>
      <c r="AF1499" s="3"/>
      <c r="AG1499" s="3"/>
      <c r="AH1499" s="4"/>
      <c r="AI1499" s="4"/>
      <c r="AJ1499" s="4"/>
      <c r="AK1499" s="3"/>
      <c r="AL1499" s="3"/>
      <c r="AM1499" s="3"/>
      <c r="AN1499" s="3"/>
      <c r="AO1499" s="4"/>
      <c r="AP1499" s="4"/>
      <c r="AQ1499" s="3"/>
      <c r="AR1499" s="4"/>
      <c r="AS1499" s="4"/>
      <c r="AT1499" s="4"/>
      <c r="AU1499" s="4"/>
      <c r="AV1499" s="4"/>
      <c r="AW1499" s="4"/>
      <c r="AX1499" s="4"/>
      <c r="AY1499" s="4"/>
      <c r="AZ1499" s="4"/>
      <c r="BA1499" s="3"/>
      <c r="BB1499" s="4"/>
      <c r="BC1499" s="3"/>
      <c r="BD1499" s="3"/>
      <c r="BE1499" s="3"/>
      <c r="BF1499" s="4"/>
      <c r="BG1499" s="3"/>
      <c r="BH1499" s="3"/>
      <c r="BI1499" s="4"/>
      <c r="BJ1499" s="4"/>
      <c r="BK1499" s="4"/>
      <c r="BL1499" s="4"/>
      <c r="BM1499" s="4"/>
      <c r="BN1499" s="4"/>
      <c r="BO1499" s="4"/>
      <c r="BP1499" s="4"/>
      <c r="BQ1499" s="4"/>
      <c r="BR1499" s="4"/>
      <c r="BS1499" s="4"/>
      <c r="BT1499" s="4"/>
      <c r="BU1499" s="4"/>
      <c r="BV1499" s="4"/>
      <c r="BW1499" s="4"/>
      <c r="BX1499" s="4"/>
      <c r="BY1499" s="4"/>
      <c r="BZ1499" s="4"/>
      <c r="CA1499" s="4"/>
      <c r="CB1499" s="4"/>
      <c r="CC1499" s="4"/>
      <c r="CD1499" s="4"/>
      <c r="CE1499" s="4"/>
      <c r="CF1499" s="4"/>
      <c r="CG1499" s="4"/>
      <c r="CH1499" s="4"/>
      <c r="CI1499" s="4"/>
      <c r="CJ1499" s="4"/>
      <c r="CK1499" s="4"/>
      <c r="CL1499" s="4"/>
      <c r="CM1499" s="4"/>
      <c r="CN1499" s="4"/>
      <c r="CO1499" s="4"/>
      <c r="CP1499" s="4"/>
      <c r="CQ1499" s="4"/>
      <c r="CR1499" s="4"/>
      <c r="CS1499" s="4"/>
      <c r="CT1499" s="4"/>
      <c r="CU1499" s="4"/>
      <c r="CV1499" s="4"/>
      <c r="CW1499" s="4"/>
      <c r="CX1499" s="4"/>
      <c r="CY1499" s="3"/>
      <c r="CZ1499" s="3"/>
      <c r="DA1499" s="3"/>
      <c r="DB1499" s="4"/>
      <c r="DC1499" s="4"/>
      <c r="DD1499" s="4"/>
      <c r="DE1499" s="4"/>
      <c r="DF1499" s="8"/>
      <c r="DG1499" s="8"/>
      <c r="DH1499" s="8"/>
      <c r="DI1499" s="8"/>
      <c r="DJ1499" s="4"/>
      <c r="DK1499" s="4"/>
      <c r="DL1499" s="4"/>
      <c r="DM1499" s="4"/>
      <c r="DN1499" s="4"/>
      <c r="DO1499" s="4"/>
      <c r="DP1499" s="4"/>
      <c r="DQ1499" s="4"/>
      <c r="DR1499" s="4"/>
      <c r="DS1499" s="4"/>
      <c r="DT1499" s="4"/>
      <c r="DU1499" s="4"/>
      <c r="DV1499" s="4"/>
      <c r="DW1499" s="4"/>
      <c r="DX1499" s="4"/>
      <c r="DY1499" s="4"/>
      <c r="DZ1499" s="4"/>
      <c r="EA1499" s="4"/>
      <c r="EB1499" s="4"/>
      <c r="EC1499" s="4"/>
      <c r="ED1499" s="3"/>
      <c r="EE1499" s="3"/>
      <c r="EF1499" s="3"/>
      <c r="EG1499" s="3"/>
      <c r="EH1499" s="3"/>
      <c r="EI1499" s="3"/>
      <c r="EJ1499" s="4"/>
      <c r="EK1499" s="4"/>
      <c r="EL1499" s="3"/>
    </row>
    <row r="1500" spans="1:145" hidden="1">
      <c r="A1500" s="11" t="s">
        <v>9940</v>
      </c>
      <c r="B1500" s="3" t="s">
        <v>8373</v>
      </c>
      <c r="C1500" s="3">
        <v>2014</v>
      </c>
      <c r="D1500" s="3" t="s">
        <v>7967</v>
      </c>
      <c r="E1500" s="3" t="s">
        <v>9707</v>
      </c>
      <c r="F1500" s="3">
        <v>1</v>
      </c>
      <c r="G1500" s="3"/>
      <c r="H1500" s="3" t="s">
        <v>7971</v>
      </c>
      <c r="I1500" s="3"/>
      <c r="J1500" s="3"/>
      <c r="K1500" s="3" t="s">
        <v>93</v>
      </c>
      <c r="L1500" s="4"/>
      <c r="M1500" s="3" t="s">
        <v>8511</v>
      </c>
      <c r="T1500" s="3" t="s">
        <v>7969</v>
      </c>
      <c r="V1500" s="3"/>
      <c r="W1500" s="3"/>
      <c r="X1500" s="5" t="s">
        <v>7972</v>
      </c>
      <c r="Y1500" s="5"/>
      <c r="Z1500" s="3">
        <v>0</v>
      </c>
      <c r="AA1500" s="3" t="s">
        <v>9178</v>
      </c>
      <c r="AB1500" s="4"/>
      <c r="AE1500" s="3"/>
      <c r="AF1500" s="4"/>
      <c r="AG1500" s="4"/>
      <c r="AH1500" s="4"/>
      <c r="AI1500" s="4"/>
      <c r="AJ1500" s="4"/>
      <c r="AK1500" s="3"/>
      <c r="AL1500" s="3"/>
      <c r="AM1500" s="3"/>
      <c r="AN1500" s="3"/>
      <c r="AO1500" s="4"/>
      <c r="AP1500" s="3"/>
      <c r="AQ1500" s="4"/>
      <c r="AR1500" s="3"/>
      <c r="AS1500" s="3"/>
      <c r="AT1500" s="4"/>
      <c r="AU1500" s="3"/>
      <c r="AV1500" s="4"/>
      <c r="AW1500" s="4"/>
      <c r="AX1500" s="4"/>
      <c r="AY1500" s="4"/>
      <c r="AZ1500" s="4"/>
      <c r="BA1500" s="4"/>
      <c r="BB1500" s="4"/>
      <c r="BC1500" s="4"/>
      <c r="BD1500" s="4"/>
      <c r="BE1500" s="4"/>
      <c r="BF1500" s="3"/>
      <c r="BG1500" s="3"/>
      <c r="BH1500" s="3"/>
      <c r="BI1500" s="4"/>
      <c r="BJ1500" s="3"/>
      <c r="BK1500" s="4"/>
      <c r="BL1500" s="4"/>
      <c r="BM1500" s="3"/>
      <c r="BN1500" s="4"/>
      <c r="BO1500" s="4"/>
      <c r="BP1500" s="4"/>
      <c r="BQ1500" s="4"/>
      <c r="BR1500" s="4"/>
      <c r="BS1500" s="4"/>
      <c r="BT1500" s="4"/>
      <c r="BU1500" s="4"/>
      <c r="BV1500" s="4"/>
      <c r="BW1500" s="4"/>
      <c r="BX1500" s="4"/>
      <c r="BY1500" s="4"/>
      <c r="BZ1500" s="4"/>
      <c r="CA1500" s="4"/>
      <c r="CB1500" s="4"/>
      <c r="CC1500" s="4"/>
      <c r="CD1500" s="4"/>
      <c r="CE1500" s="4"/>
      <c r="CF1500" s="4"/>
      <c r="CG1500" s="4"/>
      <c r="CH1500" s="4"/>
      <c r="CI1500" s="4"/>
      <c r="CJ1500" s="4"/>
      <c r="CK1500" s="4"/>
      <c r="CL1500" s="4"/>
      <c r="CM1500" s="4"/>
      <c r="CN1500" s="4"/>
      <c r="CO1500" s="3"/>
      <c r="CP1500" s="3"/>
      <c r="CQ1500" s="4"/>
      <c r="CR1500" s="4"/>
      <c r="CS1500" s="4"/>
      <c r="CT1500" s="4"/>
      <c r="CU1500" s="4"/>
      <c r="CV1500" s="4"/>
      <c r="CW1500" s="4"/>
      <c r="CX1500" s="4"/>
      <c r="CY1500" s="4"/>
      <c r="CZ1500" s="4"/>
      <c r="DA1500" s="4"/>
      <c r="DB1500" s="4"/>
      <c r="DC1500" s="4"/>
      <c r="DD1500" s="4"/>
      <c r="DE1500" s="4"/>
      <c r="DF1500" s="4"/>
      <c r="DG1500" s="4"/>
      <c r="DH1500" s="4"/>
      <c r="DI1500" s="4"/>
      <c r="DJ1500" s="4"/>
      <c r="DK1500" s="4"/>
      <c r="DL1500" s="4"/>
      <c r="DM1500" s="4"/>
      <c r="DN1500" s="4"/>
      <c r="DO1500" s="4"/>
      <c r="DP1500" s="4"/>
      <c r="DQ1500" s="4"/>
      <c r="DR1500" s="4"/>
      <c r="DS1500" s="4"/>
      <c r="DT1500" s="4"/>
      <c r="DU1500" s="4"/>
      <c r="DV1500" s="4"/>
      <c r="DW1500" s="4"/>
      <c r="DX1500" s="4"/>
      <c r="DY1500" s="4"/>
      <c r="DZ1500" s="4"/>
      <c r="EA1500" s="4"/>
      <c r="EB1500" s="4"/>
    </row>
    <row r="1501" spans="1:145" hidden="1">
      <c r="A1501" s="11" t="s">
        <v>9940</v>
      </c>
      <c r="B1501" s="3" t="s">
        <v>8373</v>
      </c>
      <c r="C1501" s="3">
        <v>1980</v>
      </c>
      <c r="D1501" s="3" t="s">
        <v>9036</v>
      </c>
      <c r="E1501" s="3" t="s">
        <v>9037</v>
      </c>
      <c r="F1501" s="3">
        <v>1</v>
      </c>
      <c r="G1501" s="3"/>
      <c r="H1501" s="3" t="s">
        <v>9042</v>
      </c>
      <c r="I1501" s="3"/>
      <c r="J1501" s="3"/>
      <c r="K1501" s="3" t="s">
        <v>9038</v>
      </c>
      <c r="L1501" s="4"/>
      <c r="M1501" s="3" t="s">
        <v>9039</v>
      </c>
      <c r="T1501" s="3" t="s">
        <v>9040</v>
      </c>
      <c r="V1501" s="3"/>
      <c r="W1501" s="3"/>
      <c r="X1501" s="5" t="s">
        <v>9041</v>
      </c>
      <c r="Y1501" s="5"/>
      <c r="Z1501" s="3">
        <v>1</v>
      </c>
      <c r="AA1501" s="4"/>
      <c r="AB1501" s="3"/>
      <c r="AE1501" s="3"/>
      <c r="AF1501" s="3"/>
      <c r="AG1501" s="4"/>
      <c r="AH1501" s="4"/>
      <c r="AI1501" s="4"/>
      <c r="AJ1501" s="4"/>
      <c r="AK1501" s="3"/>
      <c r="AL1501" s="3"/>
      <c r="AM1501" s="3"/>
      <c r="AN1501" s="3"/>
      <c r="AO1501" s="4"/>
      <c r="AP1501" s="3"/>
      <c r="AQ1501" s="4"/>
      <c r="AR1501" s="10"/>
      <c r="AS1501" s="3"/>
      <c r="AT1501" s="4"/>
      <c r="AU1501" s="3"/>
      <c r="AV1501" s="4"/>
      <c r="AW1501" s="4"/>
      <c r="AX1501" s="4"/>
      <c r="AY1501" s="4"/>
      <c r="AZ1501" s="4"/>
      <c r="BA1501" s="4"/>
      <c r="BB1501" s="4"/>
      <c r="BC1501" s="4"/>
      <c r="BD1501" s="4"/>
      <c r="BE1501" s="4"/>
      <c r="BF1501" s="3"/>
      <c r="BG1501" s="3"/>
      <c r="BH1501" s="3"/>
      <c r="BI1501" s="4"/>
      <c r="BJ1501" s="3"/>
      <c r="BK1501" s="4"/>
      <c r="BL1501" s="4"/>
      <c r="BM1501" s="3"/>
      <c r="BN1501" s="4"/>
      <c r="BO1501" s="4"/>
      <c r="BP1501" s="4"/>
      <c r="BQ1501" s="4"/>
      <c r="BR1501" s="4"/>
      <c r="BS1501" s="4"/>
      <c r="BT1501" s="4"/>
      <c r="BU1501" s="4"/>
      <c r="BV1501" s="4"/>
      <c r="BW1501" s="4"/>
      <c r="BX1501" s="4"/>
      <c r="BY1501" s="4"/>
      <c r="BZ1501" s="4"/>
      <c r="CA1501" s="4"/>
      <c r="CB1501" s="4"/>
      <c r="CC1501" s="4"/>
      <c r="CD1501" s="4"/>
      <c r="CE1501" s="4"/>
      <c r="CF1501" s="4"/>
      <c r="CG1501" s="4"/>
      <c r="CH1501" s="4"/>
      <c r="CI1501" s="4"/>
      <c r="CJ1501" s="4"/>
      <c r="CK1501" s="4"/>
      <c r="CL1501" s="4"/>
      <c r="CM1501" s="4"/>
      <c r="CN1501" s="4"/>
      <c r="CO1501" s="4"/>
      <c r="CP1501" s="4"/>
      <c r="CQ1501" s="4"/>
      <c r="CR1501" s="4"/>
      <c r="CS1501" s="4"/>
      <c r="CT1501" s="4"/>
      <c r="CU1501" s="4"/>
      <c r="CV1501" s="4"/>
      <c r="CW1501" s="4"/>
      <c r="CX1501" s="4"/>
      <c r="CY1501" s="3"/>
      <c r="CZ1501" s="3"/>
      <c r="DA1501" s="8"/>
      <c r="DB1501" s="4"/>
      <c r="DC1501" s="4"/>
      <c r="DD1501" s="4"/>
      <c r="DE1501" s="4"/>
      <c r="DF1501" s="8"/>
      <c r="DG1501" s="8"/>
      <c r="DH1501" s="8"/>
      <c r="DI1501" s="8"/>
      <c r="DJ1501" s="4"/>
      <c r="DK1501" s="4"/>
      <c r="DL1501" s="4"/>
      <c r="DM1501" s="4"/>
      <c r="DN1501" s="4"/>
      <c r="DO1501" s="4"/>
      <c r="DP1501" s="4"/>
      <c r="DQ1501" s="4"/>
      <c r="DR1501" s="4"/>
      <c r="DS1501" s="4"/>
      <c r="DT1501" s="4"/>
      <c r="DU1501" s="4"/>
      <c r="DV1501" s="4"/>
      <c r="DW1501" s="4"/>
      <c r="DX1501" s="4"/>
      <c r="DY1501" s="4"/>
      <c r="DZ1501" s="4"/>
      <c r="EA1501" s="4"/>
      <c r="EB1501" s="4"/>
      <c r="EC1501" s="4"/>
      <c r="ED1501" s="8"/>
      <c r="EE1501" s="8"/>
      <c r="EF1501" s="8"/>
      <c r="EG1501" s="8"/>
      <c r="EH1501" s="8"/>
      <c r="EI1501" s="8"/>
      <c r="EJ1501" s="4"/>
      <c r="EK1501" s="4"/>
      <c r="EL1501" s="4"/>
    </row>
    <row r="1502" spans="1:145" hidden="1">
      <c r="A1502" s="11" t="s">
        <v>9940</v>
      </c>
      <c r="B1502" s="3" t="s">
        <v>9323</v>
      </c>
      <c r="C1502" s="3">
        <v>2012</v>
      </c>
      <c r="D1502" s="3" t="s">
        <v>9708</v>
      </c>
      <c r="E1502" s="3" t="s">
        <v>9709</v>
      </c>
      <c r="F1502" s="3">
        <v>1</v>
      </c>
      <c r="G1502" s="4"/>
      <c r="H1502" s="3" t="s">
        <v>9712</v>
      </c>
      <c r="I1502" s="3"/>
      <c r="J1502" s="3"/>
      <c r="K1502" s="4"/>
      <c r="L1502" s="3" t="s">
        <v>9710</v>
      </c>
      <c r="M1502" s="4"/>
      <c r="T1502" s="4"/>
      <c r="V1502" s="3"/>
      <c r="W1502" s="3"/>
      <c r="X1502" s="5" t="s">
        <v>9711</v>
      </c>
      <c r="Y1502" s="5"/>
      <c r="Z1502" s="3">
        <v>0</v>
      </c>
      <c r="AA1502" s="3" t="s">
        <v>9237</v>
      </c>
      <c r="AB1502" s="3"/>
      <c r="AE1502" s="3"/>
      <c r="AF1502" s="4"/>
      <c r="AG1502" s="4"/>
      <c r="AH1502" s="4"/>
      <c r="AI1502" s="4"/>
      <c r="AJ1502" s="4"/>
      <c r="AK1502" s="3"/>
      <c r="AL1502" s="3"/>
      <c r="AM1502" s="3"/>
      <c r="AN1502" s="3"/>
      <c r="AO1502" s="4"/>
      <c r="AP1502" s="4"/>
      <c r="AQ1502" s="4"/>
      <c r="AR1502" s="4"/>
      <c r="AS1502" s="4"/>
      <c r="AT1502" s="4"/>
      <c r="AU1502" s="4"/>
      <c r="AV1502" s="4"/>
      <c r="AW1502" s="4"/>
      <c r="AX1502" s="4"/>
      <c r="AY1502" s="4"/>
      <c r="AZ1502" s="4"/>
      <c r="BA1502" s="3"/>
      <c r="BB1502" s="3"/>
      <c r="BC1502" s="4"/>
      <c r="BD1502" s="4"/>
      <c r="BE1502" s="3"/>
      <c r="BF1502" s="3"/>
      <c r="BG1502" s="3"/>
      <c r="BH1502" s="4"/>
      <c r="BI1502" s="4"/>
      <c r="BJ1502" s="4"/>
      <c r="BK1502" s="4"/>
      <c r="BL1502" s="4"/>
      <c r="BM1502" s="3"/>
      <c r="BN1502" s="4"/>
      <c r="BO1502" s="4"/>
      <c r="BP1502" s="4"/>
      <c r="BQ1502" s="4"/>
      <c r="BR1502" s="4"/>
      <c r="BS1502" s="4"/>
      <c r="BT1502" s="4"/>
      <c r="BU1502" s="4"/>
      <c r="BV1502" s="4"/>
      <c r="BW1502" s="4"/>
      <c r="BX1502" s="4"/>
      <c r="BY1502" s="4"/>
      <c r="BZ1502" s="4"/>
      <c r="CA1502" s="4"/>
      <c r="CB1502" s="4"/>
      <c r="CC1502" s="4"/>
      <c r="CD1502" s="4"/>
      <c r="CE1502" s="4"/>
      <c r="CF1502" s="3"/>
      <c r="CG1502" s="3"/>
      <c r="CH1502" s="4"/>
      <c r="CI1502" s="4"/>
      <c r="CJ1502" s="4"/>
      <c r="CK1502" s="4"/>
      <c r="CL1502" s="4"/>
      <c r="CM1502" s="4"/>
      <c r="CN1502" s="4"/>
      <c r="CO1502" s="4"/>
      <c r="CP1502" s="4"/>
      <c r="CQ1502" s="4"/>
      <c r="CR1502" s="4"/>
      <c r="CS1502" s="4"/>
      <c r="CT1502" s="4"/>
      <c r="CU1502" s="4"/>
      <c r="CV1502" s="4"/>
      <c r="CW1502" s="4"/>
      <c r="CX1502" s="4"/>
      <c r="CY1502" s="4"/>
      <c r="CZ1502" s="4"/>
      <c r="DA1502" s="4"/>
      <c r="DB1502" s="4"/>
      <c r="DC1502" s="4"/>
      <c r="DD1502" s="4"/>
      <c r="DE1502" s="4"/>
      <c r="DF1502" s="4"/>
      <c r="DG1502" s="4"/>
      <c r="DH1502" s="4"/>
      <c r="DI1502" s="4"/>
      <c r="DJ1502" s="4"/>
      <c r="DK1502" s="4"/>
      <c r="DL1502" s="4"/>
      <c r="DM1502" s="4"/>
      <c r="DN1502" s="4"/>
      <c r="DO1502" s="4"/>
      <c r="DP1502" s="4"/>
      <c r="DQ1502" s="4"/>
      <c r="DR1502" s="4"/>
      <c r="DS1502" s="4"/>
    </row>
    <row r="1503" spans="1:145" hidden="1">
      <c r="A1503" s="11" t="s">
        <v>9940</v>
      </c>
      <c r="B1503" s="3" t="s">
        <v>8373</v>
      </c>
      <c r="C1503" s="3">
        <v>2015</v>
      </c>
      <c r="D1503" s="3" t="s">
        <v>1946</v>
      </c>
      <c r="E1503" s="3" t="s">
        <v>9713</v>
      </c>
      <c r="F1503" s="3">
        <v>0</v>
      </c>
      <c r="G1503" s="3" t="s">
        <v>9265</v>
      </c>
      <c r="H1503" s="3" t="s">
        <v>9715</v>
      </c>
      <c r="I1503" s="3"/>
      <c r="J1503" s="3"/>
      <c r="K1503" s="3" t="s">
        <v>1947</v>
      </c>
      <c r="L1503" s="4"/>
      <c r="M1503" s="3" t="s">
        <v>9714</v>
      </c>
      <c r="T1503" s="3" t="s">
        <v>1949</v>
      </c>
      <c r="V1503" s="4"/>
      <c r="W1503" s="4"/>
      <c r="X1503" s="5" t="s">
        <v>1952</v>
      </c>
      <c r="Y1503" s="5"/>
      <c r="Z1503" s="4"/>
      <c r="AA1503" s="4"/>
      <c r="AB1503" s="4"/>
      <c r="AE1503" s="4"/>
      <c r="AF1503" s="4"/>
      <c r="AG1503" s="3"/>
      <c r="AH1503" s="3"/>
      <c r="AI1503" s="3"/>
      <c r="AJ1503" s="3"/>
      <c r="AK1503" s="4"/>
      <c r="AL1503" s="3"/>
      <c r="AM1503" s="4"/>
      <c r="AN1503" s="4"/>
      <c r="AO1503" s="3"/>
      <c r="AP1503" s="4"/>
      <c r="AQ1503" s="3"/>
      <c r="AR1503" s="4"/>
      <c r="AS1503" s="4"/>
      <c r="AT1503" s="4"/>
      <c r="AU1503" s="4"/>
      <c r="AV1503" s="4"/>
      <c r="AW1503" s="4"/>
      <c r="AX1503" s="4"/>
      <c r="AY1503" s="4"/>
      <c r="AZ1503" s="4"/>
      <c r="BA1503" s="4"/>
      <c r="BB1503" s="3"/>
      <c r="BC1503" s="3"/>
      <c r="BD1503" s="3"/>
      <c r="BE1503" s="4"/>
      <c r="BF1503" s="3"/>
      <c r="BG1503" s="4"/>
      <c r="BH1503" s="4"/>
      <c r="BI1503" s="3"/>
      <c r="BJ1503" s="4"/>
      <c r="BK1503" s="4"/>
      <c r="BL1503" s="4"/>
      <c r="BM1503" s="4"/>
      <c r="BN1503" s="4"/>
      <c r="BO1503" s="4"/>
      <c r="BP1503" s="4"/>
      <c r="BQ1503" s="4"/>
      <c r="BR1503" s="4"/>
      <c r="BS1503" s="4"/>
      <c r="BT1503" s="4"/>
      <c r="BU1503" s="4"/>
      <c r="BV1503" s="4"/>
      <c r="BW1503" s="4"/>
      <c r="BX1503" s="4"/>
      <c r="BY1503" s="4"/>
      <c r="BZ1503" s="4"/>
      <c r="CA1503" s="4"/>
      <c r="CB1503" s="4"/>
      <c r="CC1503" s="4"/>
      <c r="CD1503" s="4"/>
      <c r="CE1503" s="4"/>
      <c r="CF1503" s="4"/>
      <c r="CG1503" s="4"/>
      <c r="CH1503" s="4"/>
      <c r="CI1503" s="4"/>
      <c r="CJ1503" s="4"/>
      <c r="CK1503" s="4"/>
      <c r="CL1503" s="4"/>
      <c r="CM1503" s="4"/>
      <c r="CN1503" s="3"/>
      <c r="CO1503" s="3"/>
      <c r="CP1503" s="4"/>
      <c r="CQ1503" s="4"/>
      <c r="CR1503" s="4"/>
      <c r="CS1503" s="4"/>
      <c r="CT1503" s="4"/>
      <c r="CU1503" s="4"/>
      <c r="CV1503" s="4"/>
      <c r="CW1503" s="4"/>
      <c r="CX1503" s="4"/>
      <c r="CY1503" s="4"/>
      <c r="CZ1503" s="4"/>
      <c r="DA1503" s="4"/>
      <c r="DB1503" s="4"/>
      <c r="DC1503" s="4"/>
      <c r="DD1503" s="4"/>
      <c r="DE1503" s="4"/>
      <c r="DF1503" s="4"/>
      <c r="DG1503" s="4"/>
      <c r="DH1503" s="4"/>
      <c r="DI1503" s="4"/>
      <c r="DJ1503" s="4"/>
      <c r="DK1503" s="4"/>
      <c r="DL1503" s="4"/>
      <c r="DM1503" s="4"/>
      <c r="DN1503" s="4"/>
      <c r="DO1503" s="4"/>
      <c r="DP1503" s="4"/>
      <c r="DQ1503" s="4"/>
      <c r="DR1503" s="4"/>
      <c r="DS1503" s="4"/>
      <c r="DT1503" s="4"/>
      <c r="DU1503" s="4"/>
      <c r="DV1503" s="4"/>
      <c r="DW1503" s="4"/>
      <c r="DX1503" s="4"/>
      <c r="DY1503" s="4"/>
      <c r="DZ1503" s="4"/>
      <c r="EA1503" s="4"/>
    </row>
    <row r="1504" spans="1:145" hidden="1">
      <c r="A1504" s="11" t="s">
        <v>9940</v>
      </c>
      <c r="B1504" s="3" t="s">
        <v>8373</v>
      </c>
      <c r="C1504" s="3">
        <v>2011</v>
      </c>
      <c r="D1504" s="3" t="s">
        <v>3330</v>
      </c>
      <c r="E1504" s="3" t="s">
        <v>9716</v>
      </c>
      <c r="F1504" s="3">
        <v>0</v>
      </c>
      <c r="G1504" s="3" t="s">
        <v>9265</v>
      </c>
      <c r="H1504" s="3" t="s">
        <v>9717</v>
      </c>
      <c r="I1504" s="3"/>
      <c r="J1504" s="3"/>
      <c r="K1504" s="3" t="s">
        <v>40</v>
      </c>
      <c r="L1504" s="4"/>
      <c r="M1504" s="3" t="s">
        <v>8500</v>
      </c>
      <c r="T1504" s="3" t="s">
        <v>3332</v>
      </c>
      <c r="V1504" s="4"/>
      <c r="W1504" s="4"/>
      <c r="X1504" s="5" t="s">
        <v>3335</v>
      </c>
      <c r="Y1504" s="5"/>
      <c r="Z1504" s="4"/>
      <c r="AA1504" s="4"/>
      <c r="AB1504" s="4"/>
      <c r="AE1504" s="4"/>
      <c r="AF1504" s="4"/>
      <c r="AG1504" s="3"/>
      <c r="AH1504" s="3"/>
      <c r="AI1504" s="3"/>
      <c r="AJ1504" s="3"/>
      <c r="AK1504" s="4"/>
      <c r="AL1504" s="3"/>
      <c r="AM1504" s="4"/>
      <c r="AN1504" s="3"/>
      <c r="AO1504" s="3"/>
      <c r="AP1504" s="4"/>
      <c r="AQ1504" s="3"/>
      <c r="AR1504" s="4"/>
      <c r="AS1504" s="4"/>
      <c r="AT1504" s="4"/>
      <c r="AU1504" s="4"/>
      <c r="AV1504" s="4"/>
      <c r="AW1504" s="4"/>
      <c r="AX1504" s="4"/>
      <c r="AY1504" s="4"/>
      <c r="AZ1504" s="4"/>
      <c r="BA1504" s="4"/>
      <c r="BB1504" s="3"/>
      <c r="BC1504" s="3"/>
      <c r="BD1504" s="3"/>
      <c r="BE1504" s="4"/>
      <c r="BF1504" s="3"/>
      <c r="BG1504" s="4"/>
      <c r="BH1504" s="4"/>
      <c r="BI1504" s="4"/>
      <c r="BJ1504" s="3"/>
      <c r="BK1504" s="4"/>
      <c r="BL1504" s="4"/>
      <c r="BM1504" s="4"/>
      <c r="BN1504" s="4"/>
      <c r="BO1504" s="4"/>
      <c r="BP1504" s="4"/>
      <c r="BQ1504" s="4"/>
      <c r="BR1504" s="4"/>
      <c r="BS1504" s="4"/>
      <c r="BT1504" s="4"/>
      <c r="BU1504" s="4"/>
      <c r="BV1504" s="4"/>
      <c r="BW1504" s="4"/>
      <c r="BX1504" s="4"/>
      <c r="BY1504" s="4"/>
      <c r="BZ1504" s="4"/>
      <c r="CA1504" s="4"/>
      <c r="CB1504" s="4"/>
      <c r="CC1504" s="3"/>
      <c r="CD1504" s="3"/>
      <c r="CE1504" s="4"/>
      <c r="CF1504" s="4"/>
      <c r="CG1504" s="4"/>
      <c r="CH1504" s="4"/>
      <c r="CI1504" s="4"/>
      <c r="CJ1504" s="4"/>
      <c r="CK1504" s="4"/>
      <c r="CL1504" s="4"/>
      <c r="CM1504" s="4"/>
      <c r="CN1504" s="4"/>
      <c r="CO1504" s="4"/>
      <c r="CP1504" s="4"/>
      <c r="CQ1504" s="4"/>
      <c r="CR1504" s="4"/>
      <c r="CS1504" s="4"/>
      <c r="CT1504" s="4"/>
      <c r="CU1504" s="4"/>
      <c r="CV1504" s="4"/>
      <c r="CW1504" s="4"/>
      <c r="CX1504" s="4"/>
      <c r="CY1504" s="4"/>
      <c r="CZ1504" s="4"/>
      <c r="DA1504" s="4"/>
      <c r="DB1504" s="4"/>
      <c r="DC1504" s="4"/>
      <c r="DD1504" s="4"/>
      <c r="DE1504" s="4"/>
      <c r="DF1504" s="4"/>
      <c r="DG1504" s="4"/>
      <c r="DH1504" s="4"/>
      <c r="DI1504" s="4"/>
      <c r="DJ1504" s="4"/>
      <c r="DK1504" s="4"/>
      <c r="DL1504" s="4"/>
      <c r="DM1504" s="4"/>
      <c r="DN1504" s="4"/>
      <c r="DO1504" s="4"/>
      <c r="DP1504" s="4"/>
    </row>
    <row r="1505" spans="1:152" hidden="1">
      <c r="A1505" s="11" t="s">
        <v>9940</v>
      </c>
      <c r="B1505" s="3" t="s">
        <v>8379</v>
      </c>
      <c r="C1505" s="3">
        <v>2006</v>
      </c>
      <c r="D1505" s="3" t="s">
        <v>1095</v>
      </c>
      <c r="E1505" s="3" t="s">
        <v>9043</v>
      </c>
      <c r="F1505" s="3">
        <v>1</v>
      </c>
      <c r="G1505" s="4"/>
      <c r="H1505" s="3">
        <v>366</v>
      </c>
      <c r="I1505" s="3"/>
      <c r="J1505" s="3"/>
      <c r="K1505" s="4"/>
      <c r="L1505" s="4"/>
      <c r="M1505" s="4"/>
      <c r="T1505" s="4"/>
      <c r="V1505" s="3"/>
      <c r="W1505" s="3"/>
      <c r="X1505" s="5" t="s">
        <v>1100</v>
      </c>
      <c r="Y1505" s="5"/>
      <c r="Z1505" s="3">
        <v>1</v>
      </c>
      <c r="AA1505" s="4"/>
      <c r="AB1505" s="4"/>
      <c r="AE1505" s="3"/>
      <c r="AF1505" s="3"/>
      <c r="AG1505" s="3"/>
      <c r="AH1505" s="4"/>
      <c r="AI1505" s="4"/>
      <c r="AJ1505" s="4"/>
      <c r="AK1505" s="3"/>
      <c r="AL1505" s="3"/>
      <c r="AM1505" s="3"/>
      <c r="AN1505" s="3"/>
      <c r="AO1505" s="4"/>
      <c r="AP1505" s="4"/>
      <c r="AQ1505" s="3"/>
      <c r="AR1505" s="4"/>
      <c r="AS1505" s="4"/>
      <c r="AT1505" s="4"/>
      <c r="AU1505" s="4"/>
      <c r="AV1505" s="4"/>
      <c r="AW1505" s="4"/>
      <c r="AX1505" s="4"/>
      <c r="AY1505" s="4"/>
      <c r="AZ1505" s="4"/>
      <c r="BA1505" s="3"/>
      <c r="BB1505" s="4"/>
      <c r="BC1505" s="3"/>
      <c r="BD1505" s="3"/>
      <c r="BE1505" s="3"/>
      <c r="BF1505" s="4"/>
      <c r="BG1505" s="3"/>
      <c r="BH1505" s="3"/>
      <c r="BI1505" s="4"/>
      <c r="BJ1505" s="4"/>
      <c r="BK1505" s="4"/>
      <c r="BL1505" s="4"/>
      <c r="BM1505" s="4"/>
      <c r="BN1505" s="4"/>
      <c r="BO1505" s="4"/>
      <c r="BP1505" s="4"/>
      <c r="BQ1505" s="4"/>
      <c r="BR1505" s="4"/>
      <c r="BS1505" s="4"/>
      <c r="BT1505" s="4"/>
      <c r="BU1505" s="4"/>
      <c r="BV1505" s="4"/>
      <c r="BW1505" s="4"/>
      <c r="BX1505" s="4"/>
      <c r="BY1505" s="4"/>
      <c r="BZ1505" s="4"/>
      <c r="CA1505" s="4"/>
      <c r="CB1505" s="4"/>
      <c r="CC1505" s="4"/>
      <c r="CD1505" s="4"/>
      <c r="CE1505" s="4"/>
      <c r="CF1505" s="4"/>
      <c r="CG1505" s="4"/>
      <c r="CH1505" s="4"/>
      <c r="CI1505" s="4"/>
      <c r="CJ1505" s="4"/>
      <c r="CK1505" s="4"/>
      <c r="CL1505" s="4"/>
      <c r="CM1505" s="4"/>
      <c r="CN1505" s="4"/>
      <c r="CO1505" s="4"/>
      <c r="CP1505" s="4"/>
      <c r="CQ1505" s="4"/>
      <c r="CR1505" s="4"/>
      <c r="CS1505" s="4"/>
      <c r="CT1505" s="4"/>
      <c r="CU1505" s="4"/>
      <c r="CV1505" s="4"/>
      <c r="CW1505" s="4"/>
      <c r="CX1505" s="3"/>
      <c r="CY1505" s="3"/>
      <c r="CZ1505" s="3"/>
      <c r="DA1505" s="4"/>
      <c r="DB1505" s="4"/>
      <c r="DC1505" s="4"/>
      <c r="DD1505" s="4"/>
      <c r="DE1505" s="8"/>
      <c r="DF1505" s="8"/>
      <c r="DG1505" s="8"/>
      <c r="DH1505" s="8"/>
      <c r="DI1505" s="4"/>
      <c r="DJ1505" s="4"/>
      <c r="DK1505" s="4"/>
      <c r="DL1505" s="4"/>
      <c r="DM1505" s="4"/>
      <c r="DN1505" s="4"/>
      <c r="DO1505" s="4"/>
      <c r="DP1505" s="4"/>
      <c r="DQ1505" s="4"/>
      <c r="DR1505" s="4"/>
      <c r="DS1505" s="4"/>
      <c r="DT1505" s="4"/>
      <c r="DU1505" s="4"/>
      <c r="DV1505" s="4"/>
      <c r="DW1505" s="4"/>
      <c r="DX1505" s="4"/>
      <c r="DY1505" s="4"/>
      <c r="DZ1505" s="4"/>
      <c r="EA1505" s="4"/>
      <c r="EB1505" s="4"/>
      <c r="EC1505" s="3"/>
      <c r="ED1505" s="3"/>
      <c r="EE1505" s="3"/>
      <c r="EF1505" s="3"/>
      <c r="EG1505" s="3"/>
      <c r="EH1505" s="3"/>
      <c r="EI1505" s="4"/>
      <c r="EJ1505" s="4"/>
      <c r="EK1505" s="3"/>
    </row>
    <row r="1506" spans="1:152" hidden="1">
      <c r="A1506" s="11" t="s">
        <v>9940</v>
      </c>
      <c r="B1506" s="3" t="s">
        <v>8379</v>
      </c>
      <c r="C1506" s="3">
        <v>2010</v>
      </c>
      <c r="D1506" s="3" t="s">
        <v>6729</v>
      </c>
      <c r="E1506" s="3" t="s">
        <v>9044</v>
      </c>
      <c r="F1506" s="3">
        <v>1</v>
      </c>
      <c r="G1506" s="4"/>
      <c r="H1506" s="3" t="s">
        <v>6732</v>
      </c>
      <c r="I1506" s="3"/>
      <c r="J1506" s="3"/>
      <c r="K1506" s="4"/>
      <c r="L1506" s="4"/>
      <c r="M1506" s="4"/>
      <c r="T1506" s="4"/>
      <c r="V1506" s="3"/>
      <c r="W1506" s="3"/>
      <c r="X1506" s="5" t="s">
        <v>6733</v>
      </c>
      <c r="Y1506" s="5"/>
      <c r="Z1506" s="3">
        <v>1</v>
      </c>
      <c r="AA1506" s="4"/>
      <c r="AB1506" s="3"/>
      <c r="AE1506" s="3"/>
      <c r="AF1506" s="3"/>
      <c r="AG1506" s="3"/>
      <c r="AH1506" s="4"/>
      <c r="AI1506" s="4"/>
      <c r="AJ1506" s="4"/>
      <c r="AK1506" s="3"/>
      <c r="AL1506" s="3"/>
      <c r="AM1506" s="3"/>
      <c r="AN1506" s="3"/>
      <c r="AO1506" s="4"/>
      <c r="AP1506" s="4"/>
      <c r="AQ1506" s="3"/>
      <c r="AR1506" s="4"/>
      <c r="AS1506" s="4"/>
      <c r="AT1506" s="4"/>
      <c r="AU1506" s="4"/>
      <c r="AV1506" s="4"/>
      <c r="AW1506" s="4"/>
      <c r="AX1506" s="4"/>
      <c r="AY1506" s="4"/>
      <c r="AZ1506" s="4"/>
      <c r="BA1506" s="3"/>
      <c r="BB1506" s="4"/>
      <c r="BC1506" s="3"/>
      <c r="BD1506" s="3"/>
      <c r="BE1506" s="3"/>
      <c r="BF1506" s="4"/>
      <c r="BG1506" s="3"/>
      <c r="BH1506" s="3"/>
      <c r="BI1506" s="4"/>
      <c r="BJ1506" s="4"/>
      <c r="BK1506" s="4"/>
      <c r="BL1506" s="4"/>
      <c r="BM1506" s="4"/>
      <c r="BN1506" s="4"/>
      <c r="BO1506" s="4"/>
      <c r="BP1506" s="4"/>
      <c r="BQ1506" s="4"/>
      <c r="BR1506" s="4"/>
      <c r="BS1506" s="4"/>
      <c r="BT1506" s="4"/>
      <c r="BU1506" s="4"/>
      <c r="BV1506" s="4"/>
      <c r="BW1506" s="4"/>
      <c r="BX1506" s="4"/>
      <c r="BY1506" s="4"/>
      <c r="BZ1506" s="4"/>
      <c r="CA1506" s="4"/>
      <c r="CB1506" s="4"/>
      <c r="CC1506" s="4"/>
      <c r="CD1506" s="4"/>
      <c r="CE1506" s="4"/>
      <c r="CF1506" s="4"/>
      <c r="CG1506" s="4"/>
      <c r="CH1506" s="4"/>
      <c r="CI1506" s="4"/>
      <c r="CJ1506" s="4"/>
      <c r="CK1506" s="4"/>
      <c r="CL1506" s="4"/>
      <c r="CM1506" s="4"/>
      <c r="CN1506" s="4"/>
      <c r="CO1506" s="4"/>
      <c r="CP1506" s="4"/>
      <c r="CQ1506" s="4"/>
      <c r="CR1506" s="4"/>
      <c r="CS1506" s="4"/>
      <c r="CT1506" s="4"/>
      <c r="CU1506" s="4"/>
      <c r="CV1506" s="4"/>
      <c r="CW1506" s="4"/>
      <c r="CX1506" s="4"/>
      <c r="CY1506" s="4"/>
      <c r="CZ1506" s="4"/>
      <c r="DA1506" s="3"/>
      <c r="DB1506" s="3"/>
      <c r="DC1506" s="3"/>
      <c r="DD1506" s="4"/>
      <c r="DE1506" s="4"/>
      <c r="DF1506" s="4"/>
      <c r="DG1506" s="4"/>
      <c r="DH1506" s="3"/>
      <c r="DI1506" s="3"/>
      <c r="DJ1506" s="3"/>
      <c r="DK1506" s="3"/>
      <c r="DL1506" s="4"/>
      <c r="DM1506" s="4"/>
      <c r="DN1506" s="4"/>
      <c r="DO1506" s="4"/>
      <c r="DP1506" s="8"/>
      <c r="DQ1506" s="4"/>
      <c r="DR1506" s="4"/>
      <c r="DS1506" s="4"/>
      <c r="DT1506" s="4"/>
      <c r="DU1506" s="4"/>
      <c r="DV1506" s="4"/>
      <c r="DW1506" s="4"/>
      <c r="DX1506" s="4"/>
      <c r="DY1506" s="4"/>
      <c r="DZ1506" s="4"/>
      <c r="EA1506" s="4"/>
      <c r="EB1506" s="4"/>
      <c r="EC1506" s="4"/>
      <c r="ED1506" s="4"/>
      <c r="EE1506" s="4"/>
      <c r="EF1506" s="3"/>
      <c r="EG1506" s="3"/>
      <c r="EH1506" s="3"/>
      <c r="EI1506" s="3"/>
      <c r="EJ1506" s="3"/>
      <c r="EK1506" s="3"/>
      <c r="EL1506" s="4"/>
      <c r="EM1506" s="4"/>
      <c r="EN1506" s="3"/>
    </row>
    <row r="1507" spans="1:152" hidden="1">
      <c r="A1507" s="11" t="s">
        <v>9940</v>
      </c>
      <c r="B1507" s="3" t="s">
        <v>8373</v>
      </c>
      <c r="C1507" s="3">
        <v>2011</v>
      </c>
      <c r="D1507" s="3" t="s">
        <v>4904</v>
      </c>
      <c r="E1507" s="3" t="s">
        <v>9718</v>
      </c>
      <c r="F1507" s="3">
        <v>0</v>
      </c>
      <c r="G1507" s="3" t="s">
        <v>9237</v>
      </c>
      <c r="H1507" s="3" t="s">
        <v>4908</v>
      </c>
      <c r="I1507" s="3"/>
      <c r="J1507" s="3"/>
      <c r="K1507" s="3" t="s">
        <v>970</v>
      </c>
      <c r="L1507" s="4"/>
      <c r="M1507" s="3" t="s">
        <v>8411</v>
      </c>
      <c r="T1507" s="3" t="s">
        <v>4906</v>
      </c>
      <c r="V1507" s="4"/>
      <c r="W1507" s="4"/>
      <c r="X1507" s="5" t="s">
        <v>4909</v>
      </c>
      <c r="Y1507" s="5"/>
      <c r="Z1507" s="4"/>
      <c r="AA1507" s="4"/>
      <c r="AB1507" s="4"/>
      <c r="AE1507" s="4"/>
      <c r="AF1507" s="4"/>
      <c r="AG1507" s="3"/>
      <c r="AH1507" s="3"/>
      <c r="AI1507" s="3"/>
      <c r="AJ1507" s="3"/>
      <c r="AK1507" s="4"/>
      <c r="AL1507" s="3"/>
      <c r="AM1507" s="4"/>
      <c r="AN1507" s="3"/>
      <c r="AO1507" s="3"/>
      <c r="AP1507" s="4"/>
      <c r="AQ1507" s="3"/>
      <c r="AR1507" s="4"/>
      <c r="AS1507" s="4"/>
      <c r="AT1507" s="4"/>
      <c r="AU1507" s="4"/>
      <c r="AV1507" s="4"/>
      <c r="AW1507" s="4"/>
      <c r="AX1507" s="4"/>
      <c r="AY1507" s="4"/>
      <c r="AZ1507" s="4"/>
      <c r="BA1507" s="4"/>
      <c r="BB1507" s="3"/>
      <c r="BC1507" s="3"/>
      <c r="BD1507" s="3"/>
      <c r="BE1507" s="4"/>
      <c r="BF1507" s="3"/>
      <c r="BG1507" s="4"/>
      <c r="BH1507" s="3"/>
      <c r="BI1507" s="4"/>
      <c r="BJ1507" s="4"/>
      <c r="BK1507" s="4"/>
      <c r="BL1507" s="4"/>
      <c r="BM1507" s="4"/>
      <c r="BN1507" s="4"/>
      <c r="BO1507" s="4"/>
      <c r="BP1507" s="4"/>
      <c r="BQ1507" s="4"/>
      <c r="BR1507" s="4"/>
      <c r="BS1507" s="4"/>
      <c r="BT1507" s="4"/>
      <c r="BU1507" s="4"/>
      <c r="BV1507" s="4"/>
      <c r="BW1507" s="4"/>
      <c r="BX1507" s="4"/>
      <c r="BY1507" s="4"/>
      <c r="BZ1507" s="4"/>
      <c r="CA1507" s="4"/>
      <c r="CB1507" s="4"/>
      <c r="CC1507" s="4"/>
      <c r="CD1507" s="4"/>
      <c r="CE1507" s="3"/>
      <c r="CF1507" s="3"/>
      <c r="CG1507" s="4"/>
      <c r="CH1507" s="4"/>
      <c r="CI1507" s="4"/>
      <c r="CJ1507" s="4"/>
      <c r="CK1507" s="4"/>
      <c r="CL1507" s="4"/>
      <c r="CM1507" s="4"/>
      <c r="CN1507" s="4"/>
      <c r="CO1507" s="4"/>
      <c r="CP1507" s="4"/>
      <c r="CQ1507" s="4"/>
      <c r="CR1507" s="4"/>
      <c r="CS1507" s="4"/>
      <c r="CT1507" s="4"/>
      <c r="CU1507" s="4"/>
      <c r="CV1507" s="4"/>
      <c r="CW1507" s="4"/>
      <c r="CX1507" s="4"/>
      <c r="CY1507" s="4"/>
      <c r="CZ1507" s="4"/>
      <c r="DA1507" s="4"/>
      <c r="DB1507" s="4"/>
      <c r="DC1507" s="4"/>
      <c r="DD1507" s="4"/>
      <c r="DE1507" s="4"/>
      <c r="DF1507" s="4"/>
      <c r="DG1507" s="4"/>
      <c r="DH1507" s="4"/>
      <c r="DI1507" s="4"/>
      <c r="DJ1507" s="4"/>
      <c r="DK1507" s="4"/>
      <c r="DL1507" s="4"/>
      <c r="DM1507" s="4"/>
      <c r="DN1507" s="4"/>
      <c r="DO1507" s="4"/>
      <c r="DP1507" s="4"/>
      <c r="DQ1507" s="4"/>
      <c r="DR1507" s="4"/>
    </row>
    <row r="1508" spans="1:152" hidden="1">
      <c r="A1508" s="11" t="s">
        <v>9940</v>
      </c>
      <c r="B1508" s="3" t="s">
        <v>8379</v>
      </c>
      <c r="C1508" s="3">
        <v>2007</v>
      </c>
      <c r="D1508" s="3" t="s">
        <v>3182</v>
      </c>
      <c r="E1508" s="3" t="s">
        <v>9045</v>
      </c>
      <c r="F1508" s="3">
        <v>1</v>
      </c>
      <c r="G1508" s="4"/>
      <c r="H1508" s="3" t="s">
        <v>3186</v>
      </c>
      <c r="I1508" s="3"/>
      <c r="J1508" s="3"/>
      <c r="K1508" s="4"/>
      <c r="L1508" s="4"/>
      <c r="M1508" s="4"/>
      <c r="T1508" s="4"/>
      <c r="V1508" s="3"/>
      <c r="W1508" s="4"/>
      <c r="X1508" s="5" t="s">
        <v>3187</v>
      </c>
      <c r="Y1508" s="5"/>
      <c r="Z1508" s="3">
        <v>1</v>
      </c>
      <c r="AA1508" s="4"/>
      <c r="AB1508" s="4"/>
      <c r="AE1508" s="3"/>
      <c r="AF1508" s="3"/>
      <c r="AG1508" s="3"/>
      <c r="AH1508" s="4"/>
      <c r="AI1508" s="4"/>
      <c r="AJ1508" s="4"/>
      <c r="AK1508" s="3"/>
      <c r="AL1508" s="3"/>
      <c r="AM1508" s="3"/>
      <c r="AN1508" s="3"/>
      <c r="AO1508" s="4"/>
      <c r="AP1508" s="4"/>
      <c r="AQ1508" s="3"/>
      <c r="AR1508" s="4"/>
      <c r="AS1508" s="4"/>
      <c r="AT1508" s="4"/>
      <c r="AU1508" s="4"/>
      <c r="AV1508" s="4"/>
      <c r="AW1508" s="4"/>
      <c r="AX1508" s="4"/>
      <c r="AY1508" s="4"/>
      <c r="AZ1508" s="4"/>
      <c r="BA1508" s="3"/>
      <c r="BB1508" s="4"/>
      <c r="BC1508" s="3"/>
      <c r="BD1508" s="3"/>
      <c r="BE1508" s="3"/>
      <c r="BF1508" s="4"/>
      <c r="BG1508" s="3"/>
      <c r="BH1508" s="3"/>
      <c r="BI1508" s="4"/>
      <c r="BJ1508" s="4"/>
      <c r="BK1508" s="4"/>
      <c r="BL1508" s="4"/>
      <c r="BM1508" s="4"/>
      <c r="BN1508" s="4"/>
      <c r="BO1508" s="4"/>
      <c r="BP1508" s="4"/>
      <c r="BQ1508" s="4"/>
      <c r="BR1508" s="4"/>
      <c r="BS1508" s="4"/>
      <c r="BT1508" s="4"/>
      <c r="BU1508" s="4"/>
      <c r="BV1508" s="4"/>
      <c r="BW1508" s="4"/>
      <c r="BX1508" s="4"/>
      <c r="BY1508" s="4"/>
      <c r="BZ1508" s="4"/>
      <c r="CA1508" s="4"/>
      <c r="CB1508" s="4"/>
      <c r="CC1508" s="4"/>
      <c r="CD1508" s="4"/>
      <c r="CE1508" s="4"/>
      <c r="CF1508" s="4"/>
      <c r="CG1508" s="4"/>
      <c r="CH1508" s="4"/>
      <c r="CI1508" s="4"/>
      <c r="CJ1508" s="4"/>
      <c r="CK1508" s="4"/>
      <c r="CL1508" s="4"/>
      <c r="CM1508" s="4"/>
      <c r="CN1508" s="4"/>
      <c r="CO1508" s="4"/>
      <c r="CP1508" s="4"/>
      <c r="CQ1508" s="4"/>
      <c r="CR1508" s="4"/>
      <c r="CS1508" s="4"/>
      <c r="CT1508" s="4"/>
      <c r="CU1508" s="4"/>
      <c r="CV1508" s="4"/>
      <c r="CW1508" s="4"/>
      <c r="CX1508" s="4"/>
      <c r="CY1508" s="4"/>
      <c r="CZ1508" s="4"/>
      <c r="DA1508" s="4"/>
      <c r="DB1508" s="4"/>
      <c r="DC1508" s="4"/>
      <c r="DD1508" s="3"/>
      <c r="DE1508" s="3"/>
      <c r="DF1508" s="3"/>
      <c r="DG1508" s="4"/>
      <c r="DH1508" s="4"/>
      <c r="DI1508" s="4"/>
      <c r="DJ1508" s="4"/>
      <c r="DK1508" s="8"/>
      <c r="DL1508" s="8"/>
      <c r="DM1508" s="8"/>
      <c r="DN1508" s="8"/>
      <c r="DO1508" s="4"/>
      <c r="DP1508" s="4"/>
      <c r="DQ1508" s="4"/>
      <c r="DR1508" s="4"/>
      <c r="DS1508" s="4"/>
      <c r="DT1508" s="4"/>
      <c r="DU1508" s="4"/>
      <c r="DV1508" s="4"/>
      <c r="DW1508" s="4"/>
      <c r="DX1508" s="4"/>
      <c r="DY1508" s="4"/>
      <c r="DZ1508" s="4"/>
      <c r="EA1508" s="4"/>
      <c r="EB1508" s="4"/>
      <c r="EC1508" s="4"/>
      <c r="ED1508" s="4"/>
      <c r="EE1508" s="4"/>
      <c r="EF1508" s="4"/>
      <c r="EG1508" s="4"/>
      <c r="EH1508" s="4"/>
      <c r="EI1508" s="3"/>
      <c r="EJ1508" s="3"/>
      <c r="EK1508" s="3"/>
      <c r="EL1508" s="3"/>
      <c r="EM1508" s="3"/>
      <c r="EN1508" s="3"/>
      <c r="EO1508" s="4"/>
      <c r="EP1508" s="4"/>
      <c r="EQ1508" s="3"/>
    </row>
    <row r="1509" spans="1:152" hidden="1">
      <c r="A1509" s="11" t="s">
        <v>9940</v>
      </c>
      <c r="B1509" s="3" t="s">
        <v>8373</v>
      </c>
      <c r="C1509" s="3">
        <v>2013</v>
      </c>
      <c r="D1509" s="3" t="s">
        <v>2475</v>
      </c>
      <c r="E1509" s="3" t="s">
        <v>9046</v>
      </c>
      <c r="F1509" s="3">
        <v>1</v>
      </c>
      <c r="G1509" s="3"/>
      <c r="H1509" s="3" t="s">
        <v>9048</v>
      </c>
      <c r="I1509" s="3"/>
      <c r="J1509" s="3"/>
      <c r="K1509" s="3" t="s">
        <v>84</v>
      </c>
      <c r="L1509" s="4"/>
      <c r="M1509" s="3" t="s">
        <v>9047</v>
      </c>
      <c r="T1509" s="3" t="s">
        <v>2477</v>
      </c>
      <c r="V1509" s="3"/>
      <c r="W1509" s="3"/>
      <c r="X1509" s="5" t="s">
        <v>2480</v>
      </c>
      <c r="Y1509" s="5"/>
      <c r="Z1509" s="3">
        <v>1</v>
      </c>
      <c r="AA1509" s="4"/>
      <c r="AB1509" s="3"/>
      <c r="AE1509" s="3"/>
      <c r="AF1509" s="3"/>
      <c r="AG1509" s="4"/>
      <c r="AH1509" s="4"/>
      <c r="AI1509" s="4"/>
      <c r="AJ1509" s="4"/>
      <c r="AK1509" s="3"/>
      <c r="AL1509" s="3"/>
      <c r="AM1509" s="3"/>
      <c r="AN1509" s="3"/>
      <c r="AO1509" s="4"/>
      <c r="AP1509" s="3"/>
      <c r="AQ1509" s="4"/>
      <c r="AR1509" s="3"/>
      <c r="AS1509" s="3"/>
      <c r="AT1509" s="4"/>
      <c r="AU1509" s="3"/>
      <c r="AV1509" s="4"/>
      <c r="AW1509" s="4"/>
      <c r="AX1509" s="4"/>
      <c r="AY1509" s="4"/>
      <c r="AZ1509" s="4"/>
      <c r="BA1509" s="4"/>
      <c r="BB1509" s="4"/>
      <c r="BC1509" s="4"/>
      <c r="BD1509" s="4"/>
      <c r="BE1509" s="4"/>
      <c r="BF1509" s="3"/>
      <c r="BG1509" s="3"/>
      <c r="BH1509" s="3"/>
      <c r="BI1509" s="4"/>
      <c r="BJ1509" s="3"/>
      <c r="BK1509" s="4"/>
      <c r="BL1509" s="4"/>
      <c r="BM1509" s="3"/>
      <c r="BN1509" s="4"/>
      <c r="BO1509" s="4"/>
      <c r="BP1509" s="4"/>
      <c r="BQ1509" s="4"/>
      <c r="BR1509" s="4"/>
      <c r="BS1509" s="4"/>
      <c r="BT1509" s="4"/>
      <c r="BU1509" s="4"/>
      <c r="BV1509" s="4"/>
      <c r="BW1509" s="4"/>
      <c r="BX1509" s="4"/>
      <c r="BY1509" s="4"/>
      <c r="BZ1509" s="4"/>
      <c r="CA1509" s="4"/>
      <c r="CB1509" s="4"/>
      <c r="CC1509" s="4"/>
      <c r="CD1509" s="4"/>
      <c r="CE1509" s="4"/>
      <c r="CF1509" s="3"/>
      <c r="CG1509" s="3"/>
      <c r="CH1509" s="8"/>
      <c r="CI1509" s="4"/>
      <c r="CJ1509" s="4"/>
      <c r="CK1509" s="4"/>
      <c r="CL1509" s="4"/>
      <c r="CM1509" s="8"/>
      <c r="CN1509" s="8"/>
      <c r="CO1509" s="8"/>
      <c r="CP1509" s="8"/>
      <c r="CQ1509" s="4"/>
      <c r="CR1509" s="4"/>
      <c r="CS1509" s="4"/>
      <c r="CT1509" s="4"/>
      <c r="CU1509" s="4"/>
      <c r="CV1509" s="4"/>
      <c r="CW1509" s="4"/>
      <c r="CX1509" s="4"/>
      <c r="CY1509" s="4"/>
      <c r="CZ1509" s="4"/>
      <c r="DA1509" s="4"/>
      <c r="DB1509" s="4"/>
      <c r="DC1509" s="4"/>
      <c r="DD1509" s="4"/>
      <c r="DE1509" s="4"/>
      <c r="DF1509" s="4"/>
      <c r="DG1509" s="4"/>
      <c r="DH1509" s="4"/>
      <c r="DI1509" s="4"/>
      <c r="DJ1509" s="4"/>
      <c r="DK1509" s="8"/>
      <c r="DL1509" s="8"/>
      <c r="DM1509" s="8"/>
      <c r="DN1509" s="8"/>
      <c r="DO1509" s="8"/>
      <c r="DP1509" s="8"/>
      <c r="DQ1509" s="4"/>
      <c r="DR1509" s="4"/>
      <c r="DS1509" s="4"/>
    </row>
    <row r="1510" spans="1:152" hidden="1">
      <c r="A1510" s="11" t="s">
        <v>9940</v>
      </c>
      <c r="B1510" s="3" t="s">
        <v>8379</v>
      </c>
      <c r="C1510" s="3">
        <v>2000</v>
      </c>
      <c r="D1510" s="3" t="s">
        <v>9049</v>
      </c>
      <c r="E1510" s="3" t="s">
        <v>9050</v>
      </c>
      <c r="F1510" s="3">
        <v>1</v>
      </c>
      <c r="G1510" s="4"/>
      <c r="H1510" s="3" t="s">
        <v>9052</v>
      </c>
      <c r="I1510" s="3"/>
      <c r="J1510" s="3"/>
      <c r="K1510" s="4"/>
      <c r="L1510" s="4"/>
      <c r="M1510" s="4"/>
      <c r="T1510" s="4"/>
      <c r="V1510" s="3"/>
      <c r="W1510" s="4"/>
      <c r="X1510" s="5" t="s">
        <v>9051</v>
      </c>
      <c r="Y1510" s="5"/>
      <c r="Z1510" s="3">
        <v>1</v>
      </c>
      <c r="AA1510" s="4"/>
      <c r="AB1510" s="4"/>
      <c r="AE1510" s="3"/>
      <c r="AF1510" s="3"/>
      <c r="AG1510" s="3"/>
      <c r="AH1510" s="4"/>
      <c r="AI1510" s="4"/>
      <c r="AJ1510" s="4"/>
      <c r="AK1510" s="3"/>
      <c r="AL1510" s="3"/>
      <c r="AM1510" s="3"/>
      <c r="AN1510" s="3"/>
      <c r="AO1510" s="4"/>
      <c r="AP1510" s="4"/>
      <c r="AQ1510" s="3"/>
      <c r="AR1510" s="4"/>
      <c r="AS1510" s="4"/>
      <c r="AT1510" s="4"/>
      <c r="AU1510" s="4"/>
      <c r="AV1510" s="4"/>
      <c r="AW1510" s="4"/>
      <c r="AX1510" s="4"/>
      <c r="AY1510" s="4"/>
      <c r="AZ1510" s="4"/>
      <c r="BA1510" s="3"/>
      <c r="BB1510" s="4"/>
      <c r="BC1510" s="3"/>
      <c r="BD1510" s="3"/>
      <c r="BE1510" s="3"/>
      <c r="BF1510" s="4"/>
      <c r="BG1510" s="3"/>
      <c r="BH1510" s="3"/>
      <c r="BI1510" s="4"/>
      <c r="BJ1510" s="4"/>
      <c r="BK1510" s="4"/>
      <c r="BL1510" s="4"/>
      <c r="BM1510" s="4"/>
      <c r="BN1510" s="4"/>
      <c r="BO1510" s="4"/>
      <c r="BP1510" s="4"/>
      <c r="BQ1510" s="4"/>
      <c r="BR1510" s="4"/>
      <c r="BS1510" s="4"/>
      <c r="BT1510" s="4"/>
      <c r="BU1510" s="4"/>
      <c r="BV1510" s="4"/>
      <c r="BW1510" s="4"/>
      <c r="BX1510" s="4"/>
      <c r="BY1510" s="4"/>
      <c r="BZ1510" s="4"/>
      <c r="CA1510" s="4"/>
      <c r="CB1510" s="4"/>
      <c r="CC1510" s="4"/>
      <c r="CD1510" s="4"/>
      <c r="CE1510" s="4"/>
      <c r="CF1510" s="4"/>
      <c r="CG1510" s="4"/>
      <c r="CH1510" s="4"/>
      <c r="CI1510" s="4"/>
      <c r="CJ1510" s="4"/>
      <c r="CK1510" s="4"/>
      <c r="CL1510" s="4"/>
      <c r="CM1510" s="4"/>
      <c r="CN1510" s="4"/>
      <c r="CO1510" s="4"/>
      <c r="CP1510" s="4"/>
      <c r="CQ1510" s="4"/>
      <c r="CR1510" s="4"/>
      <c r="CS1510" s="4"/>
      <c r="CT1510" s="4"/>
      <c r="CU1510" s="4"/>
      <c r="CV1510" s="4"/>
      <c r="CW1510" s="4"/>
      <c r="CX1510" s="4"/>
      <c r="CY1510" s="4"/>
      <c r="CZ1510" s="4"/>
      <c r="DA1510" s="4"/>
      <c r="DB1510" s="3"/>
      <c r="DC1510" s="3"/>
      <c r="DD1510" s="3"/>
      <c r="DE1510" s="4"/>
      <c r="DF1510" s="4"/>
      <c r="DG1510" s="4"/>
      <c r="DH1510" s="4"/>
      <c r="DI1510" s="3"/>
      <c r="DJ1510" s="3"/>
      <c r="DK1510" s="3"/>
      <c r="DL1510" s="3"/>
      <c r="DM1510" s="4"/>
      <c r="DN1510" s="4"/>
      <c r="DO1510" s="4"/>
      <c r="DP1510" s="4"/>
      <c r="DQ1510" s="8"/>
      <c r="DR1510" s="4"/>
      <c r="DS1510" s="4"/>
      <c r="DT1510" s="4"/>
      <c r="DU1510" s="4"/>
      <c r="DV1510" s="4"/>
      <c r="DW1510" s="4"/>
      <c r="DX1510" s="4"/>
      <c r="DY1510" s="4"/>
      <c r="DZ1510" s="4"/>
      <c r="EA1510" s="4"/>
      <c r="EB1510" s="4"/>
      <c r="EC1510" s="4"/>
      <c r="ED1510" s="4"/>
      <c r="EE1510" s="4"/>
      <c r="EF1510" s="4"/>
      <c r="EG1510" s="3"/>
      <c r="EH1510" s="3"/>
      <c r="EI1510" s="3"/>
      <c r="EJ1510" s="3"/>
      <c r="EK1510" s="3"/>
      <c r="EL1510" s="3"/>
      <c r="EM1510" s="4"/>
      <c r="EN1510" s="4"/>
      <c r="EO1510" s="3"/>
    </row>
    <row r="1511" spans="1:152" hidden="1">
      <c r="A1511" s="11" t="s">
        <v>9940</v>
      </c>
      <c r="B1511" s="3" t="s">
        <v>8373</v>
      </c>
      <c r="C1511" s="3">
        <v>2011</v>
      </c>
      <c r="D1511" s="3" t="s">
        <v>9719</v>
      </c>
      <c r="E1511" s="3" t="s">
        <v>9720</v>
      </c>
      <c r="F1511" s="3">
        <v>1</v>
      </c>
      <c r="G1511" s="3"/>
      <c r="H1511" s="3" t="s">
        <v>2581</v>
      </c>
      <c r="I1511" s="3"/>
      <c r="J1511" s="3"/>
      <c r="K1511" s="3" t="s">
        <v>2577</v>
      </c>
      <c r="L1511" s="4"/>
      <c r="M1511" s="3" t="s">
        <v>9721</v>
      </c>
      <c r="T1511" s="3" t="s">
        <v>2579</v>
      </c>
      <c r="V1511" s="3"/>
      <c r="W1511" s="3"/>
      <c r="X1511" s="5" t="s">
        <v>2582</v>
      </c>
      <c r="Y1511" s="5"/>
      <c r="Z1511" s="3">
        <v>0</v>
      </c>
      <c r="AA1511" s="3" t="s">
        <v>9265</v>
      </c>
      <c r="AB1511" s="4"/>
      <c r="AE1511" s="3"/>
      <c r="AF1511" s="4"/>
      <c r="AG1511" s="4"/>
      <c r="AH1511" s="4"/>
      <c r="AI1511" s="4"/>
      <c r="AJ1511" s="4"/>
      <c r="AK1511" s="3"/>
      <c r="AL1511" s="7"/>
      <c r="AM1511" s="3"/>
      <c r="AN1511" s="3"/>
      <c r="AO1511" s="4"/>
      <c r="AP1511" s="4"/>
      <c r="AQ1511" s="4"/>
      <c r="AR1511" s="4"/>
      <c r="AS1511" s="3"/>
      <c r="AT1511" s="4"/>
      <c r="AU1511" s="3"/>
      <c r="AV1511" s="4"/>
      <c r="AW1511" s="4"/>
      <c r="AX1511" s="4"/>
      <c r="AY1511" s="4"/>
      <c r="AZ1511" s="4"/>
      <c r="BA1511" s="4"/>
      <c r="BB1511" s="4"/>
      <c r="BC1511" s="4"/>
      <c r="BD1511" s="4"/>
      <c r="BE1511" s="4"/>
      <c r="BF1511" s="3"/>
      <c r="BG1511" s="3"/>
      <c r="BH1511" s="3"/>
      <c r="BI1511" s="4"/>
      <c r="BJ1511" s="3"/>
      <c r="BK1511" s="4"/>
      <c r="BL1511" s="4"/>
      <c r="BM1511" s="3"/>
      <c r="BN1511" s="4"/>
      <c r="BO1511" s="4"/>
      <c r="BP1511" s="4"/>
      <c r="BQ1511" s="4"/>
      <c r="BR1511" s="4"/>
      <c r="BS1511" s="4"/>
      <c r="BT1511" s="4"/>
      <c r="BU1511" s="4"/>
      <c r="BV1511" s="4"/>
      <c r="BW1511" s="4"/>
      <c r="BX1511" s="4"/>
      <c r="BY1511" s="4"/>
      <c r="BZ1511" s="4"/>
      <c r="CA1511" s="4"/>
      <c r="CB1511" s="4"/>
      <c r="CC1511" s="3"/>
      <c r="CD1511" s="3"/>
      <c r="CE1511" s="4"/>
      <c r="CF1511" s="4"/>
      <c r="CG1511" s="4"/>
      <c r="CH1511" s="4"/>
      <c r="CI1511" s="4"/>
      <c r="CJ1511" s="4"/>
      <c r="CK1511" s="4"/>
      <c r="CL1511" s="4"/>
      <c r="CM1511" s="4"/>
      <c r="CN1511" s="4"/>
      <c r="CO1511" s="4"/>
      <c r="CP1511" s="4"/>
      <c r="CQ1511" s="4"/>
      <c r="CR1511" s="4"/>
      <c r="CS1511" s="4"/>
      <c r="CT1511" s="4"/>
      <c r="CU1511" s="4"/>
      <c r="CV1511" s="4"/>
      <c r="CW1511" s="4"/>
      <c r="CX1511" s="4"/>
      <c r="CY1511" s="4"/>
      <c r="CZ1511" s="4"/>
      <c r="DA1511" s="4"/>
      <c r="DB1511" s="4"/>
      <c r="DC1511" s="4"/>
      <c r="DD1511" s="4"/>
      <c r="DE1511" s="4"/>
      <c r="DF1511" s="4"/>
      <c r="DG1511" s="4"/>
      <c r="DH1511" s="4"/>
      <c r="DI1511" s="4"/>
      <c r="DJ1511" s="4"/>
      <c r="DK1511" s="4"/>
      <c r="DL1511" s="4"/>
      <c r="DM1511" s="4"/>
      <c r="DN1511" s="4"/>
      <c r="DO1511" s="4"/>
      <c r="DP1511" s="4"/>
    </row>
    <row r="1512" spans="1:152" hidden="1">
      <c r="A1512" s="11" t="s">
        <v>9940</v>
      </c>
      <c r="B1512" s="3" t="s">
        <v>8379</v>
      </c>
      <c r="C1512" s="3">
        <v>2015</v>
      </c>
      <c r="D1512" s="3" t="s">
        <v>9722</v>
      </c>
      <c r="E1512" s="3" t="s">
        <v>9723</v>
      </c>
      <c r="F1512" s="3">
        <v>1</v>
      </c>
      <c r="G1512" s="4"/>
      <c r="H1512" s="3" t="s">
        <v>9725</v>
      </c>
      <c r="I1512" s="3"/>
      <c r="J1512" s="3"/>
      <c r="K1512" s="4"/>
      <c r="L1512" s="4"/>
      <c r="M1512" s="4"/>
      <c r="T1512" s="4"/>
      <c r="V1512" s="3"/>
      <c r="W1512" s="3"/>
      <c r="X1512" s="5" t="s">
        <v>9724</v>
      </c>
      <c r="Y1512" s="5"/>
      <c r="Z1512" s="3">
        <v>0</v>
      </c>
      <c r="AA1512" s="3" t="s">
        <v>9249</v>
      </c>
      <c r="AB1512" s="4"/>
      <c r="AE1512" s="3"/>
      <c r="AF1512" s="4"/>
      <c r="AG1512" s="4"/>
      <c r="AH1512" s="4"/>
      <c r="AI1512" s="4"/>
      <c r="AJ1512" s="4"/>
      <c r="AK1512" s="3"/>
      <c r="AL1512" s="3"/>
      <c r="AM1512" s="3"/>
      <c r="AN1512" s="3"/>
      <c r="AO1512" s="4"/>
      <c r="AP1512" s="4"/>
      <c r="AQ1512" s="4"/>
      <c r="AR1512" s="4"/>
      <c r="AS1512" s="4"/>
      <c r="AT1512" s="4"/>
      <c r="AU1512" s="4"/>
      <c r="AV1512" s="4"/>
      <c r="AW1512" s="4"/>
      <c r="AX1512" s="4"/>
      <c r="AY1512" s="4"/>
      <c r="AZ1512" s="4"/>
      <c r="BA1512" s="3"/>
      <c r="BB1512" s="4"/>
      <c r="BC1512" s="3"/>
      <c r="BD1512" s="3"/>
      <c r="BE1512" s="3"/>
      <c r="BF1512" s="4"/>
      <c r="BG1512" s="3"/>
      <c r="BH1512" s="3"/>
      <c r="BI1512" s="4"/>
      <c r="BJ1512" s="4"/>
      <c r="BK1512" s="4"/>
      <c r="BL1512" s="4"/>
      <c r="BM1512" s="4"/>
      <c r="BN1512" s="4"/>
      <c r="BO1512" s="4"/>
      <c r="BP1512" s="4"/>
      <c r="BQ1512" s="4"/>
      <c r="BR1512" s="4"/>
      <c r="BS1512" s="4"/>
      <c r="BT1512" s="4"/>
      <c r="BU1512" s="4"/>
      <c r="BV1512" s="4"/>
      <c r="BW1512" s="4"/>
      <c r="BX1512" s="4"/>
      <c r="BY1512" s="4"/>
      <c r="BZ1512" s="4"/>
      <c r="CA1512" s="4"/>
      <c r="CB1512" s="4"/>
      <c r="CC1512" s="4"/>
      <c r="CD1512" s="4"/>
      <c r="CE1512" s="4"/>
      <c r="CF1512" s="4"/>
      <c r="CG1512" s="4"/>
      <c r="CH1512" s="4"/>
      <c r="CI1512" s="4"/>
      <c r="CJ1512" s="4"/>
      <c r="CK1512" s="4"/>
      <c r="CL1512" s="4"/>
      <c r="CM1512" s="4"/>
      <c r="CN1512" s="4"/>
      <c r="CO1512" s="4"/>
      <c r="CP1512" s="4"/>
      <c r="CQ1512" s="4"/>
      <c r="CR1512" s="4"/>
      <c r="CS1512" s="4"/>
      <c r="CT1512" s="4"/>
      <c r="CU1512" s="4"/>
      <c r="CV1512" s="3"/>
      <c r="CW1512" s="3"/>
      <c r="CX1512" s="4"/>
      <c r="CY1512" s="4"/>
      <c r="CZ1512" s="4"/>
      <c r="DA1512" s="4"/>
      <c r="DB1512" s="4"/>
      <c r="DC1512" s="4"/>
      <c r="DD1512" s="4"/>
      <c r="DE1512" s="4"/>
      <c r="DF1512" s="4"/>
      <c r="DG1512" s="4"/>
      <c r="DH1512" s="4"/>
      <c r="DI1512" s="4"/>
      <c r="DJ1512" s="4"/>
      <c r="DK1512" s="4"/>
      <c r="DL1512" s="4"/>
      <c r="DM1512" s="4"/>
      <c r="DN1512" s="4"/>
      <c r="DO1512" s="4"/>
      <c r="DP1512" s="4"/>
      <c r="DQ1512" s="4"/>
      <c r="DR1512" s="4"/>
      <c r="DS1512" s="4"/>
      <c r="DT1512" s="4"/>
      <c r="DU1512" s="4"/>
      <c r="DV1512" s="4"/>
      <c r="DW1512" s="4"/>
      <c r="DX1512" s="4"/>
      <c r="DY1512" s="4"/>
      <c r="DZ1512" s="4"/>
      <c r="EA1512" s="4"/>
      <c r="EB1512" s="4"/>
      <c r="EC1512" s="4"/>
      <c r="ED1512" s="4"/>
      <c r="EE1512" s="4"/>
      <c r="EF1512" s="4"/>
      <c r="EG1512" s="4"/>
      <c r="EH1512" s="4"/>
      <c r="EI1512" s="4"/>
    </row>
    <row r="1513" spans="1:152" hidden="1">
      <c r="A1513" s="11" t="s">
        <v>9940</v>
      </c>
      <c r="B1513" s="3" t="s">
        <v>8373</v>
      </c>
      <c r="C1513" s="3">
        <v>2013</v>
      </c>
      <c r="D1513" s="3" t="s">
        <v>9726</v>
      </c>
      <c r="E1513" s="3" t="s">
        <v>9727</v>
      </c>
      <c r="F1513" s="3">
        <v>0</v>
      </c>
      <c r="G1513" s="3" t="s">
        <v>9237</v>
      </c>
      <c r="H1513" s="3" t="s">
        <v>9732</v>
      </c>
      <c r="I1513" s="3"/>
      <c r="J1513" s="3"/>
      <c r="K1513" s="3" t="s">
        <v>9728</v>
      </c>
      <c r="L1513" s="4"/>
      <c r="M1513" s="3" t="s">
        <v>9729</v>
      </c>
      <c r="T1513" s="3" t="s">
        <v>9730</v>
      </c>
      <c r="V1513" s="4"/>
      <c r="W1513" s="4"/>
      <c r="X1513" s="5" t="s">
        <v>9731</v>
      </c>
      <c r="Y1513" s="5"/>
      <c r="Z1513" s="4"/>
      <c r="AA1513" s="4"/>
      <c r="AB1513" s="4"/>
      <c r="AE1513" s="4"/>
      <c r="AF1513" s="4"/>
      <c r="AG1513" s="3"/>
      <c r="AH1513" s="3"/>
      <c r="AI1513" s="3"/>
      <c r="AJ1513" s="3"/>
      <c r="AK1513" s="4"/>
      <c r="AL1513" s="3"/>
      <c r="AM1513" s="4"/>
      <c r="AN1513" s="3"/>
      <c r="AO1513" s="3"/>
      <c r="AP1513" s="4"/>
      <c r="AQ1513" s="3"/>
      <c r="AR1513" s="4"/>
      <c r="AS1513" s="4"/>
      <c r="AT1513" s="4"/>
      <c r="AU1513" s="4"/>
      <c r="AV1513" s="4"/>
      <c r="AW1513" s="4"/>
      <c r="AX1513" s="4"/>
      <c r="AY1513" s="4"/>
      <c r="AZ1513" s="4"/>
      <c r="BA1513" s="4"/>
      <c r="BB1513" s="3"/>
      <c r="BC1513" s="3"/>
      <c r="BD1513" s="3"/>
      <c r="BE1513" s="4"/>
      <c r="BF1513" s="3"/>
      <c r="BG1513" s="4"/>
      <c r="BH1513" s="4"/>
      <c r="BI1513" s="3"/>
      <c r="BJ1513" s="4"/>
      <c r="BK1513" s="4"/>
      <c r="BL1513" s="4"/>
      <c r="BM1513" s="4"/>
      <c r="BN1513" s="4"/>
      <c r="BO1513" s="4"/>
      <c r="BP1513" s="4"/>
      <c r="BQ1513" s="4"/>
      <c r="BR1513" s="4"/>
      <c r="BS1513" s="4"/>
      <c r="BT1513" s="4"/>
      <c r="BU1513" s="4"/>
      <c r="BV1513" s="4"/>
      <c r="BW1513" s="4"/>
      <c r="BX1513" s="4"/>
      <c r="BY1513" s="4"/>
      <c r="BZ1513" s="4"/>
      <c r="CA1513" s="4"/>
      <c r="CB1513" s="4"/>
      <c r="CC1513" s="4"/>
      <c r="CD1513" s="3"/>
      <c r="CE1513" s="3"/>
      <c r="CF1513" s="4"/>
      <c r="CG1513" s="4"/>
      <c r="CH1513" s="4"/>
      <c r="CI1513" s="4"/>
      <c r="CJ1513" s="4"/>
      <c r="CK1513" s="4"/>
      <c r="CL1513" s="4"/>
      <c r="CM1513" s="4"/>
      <c r="CN1513" s="4"/>
      <c r="CO1513" s="4"/>
      <c r="CP1513" s="4"/>
      <c r="CQ1513" s="4"/>
      <c r="CR1513" s="4"/>
      <c r="CS1513" s="4"/>
      <c r="CT1513" s="4"/>
      <c r="CU1513" s="4"/>
      <c r="CV1513" s="4"/>
      <c r="CW1513" s="4"/>
      <c r="CX1513" s="4"/>
      <c r="CY1513" s="4"/>
      <c r="CZ1513" s="4"/>
      <c r="DA1513" s="4"/>
      <c r="DB1513" s="4"/>
      <c r="DC1513" s="4"/>
      <c r="DD1513" s="4"/>
      <c r="DE1513" s="4"/>
      <c r="DF1513" s="4"/>
      <c r="DG1513" s="4"/>
      <c r="DH1513" s="4"/>
      <c r="DI1513" s="4"/>
      <c r="DJ1513" s="4"/>
      <c r="DK1513" s="4"/>
      <c r="DL1513" s="4"/>
      <c r="DM1513" s="4"/>
      <c r="DN1513" s="4"/>
      <c r="DO1513" s="4"/>
      <c r="DP1513" s="4"/>
      <c r="DQ1513" s="4"/>
    </row>
    <row r="1514" spans="1:152" hidden="1">
      <c r="A1514" s="11" t="s">
        <v>9940</v>
      </c>
      <c r="B1514" s="3" t="s">
        <v>8373</v>
      </c>
      <c r="C1514" s="3">
        <v>2012</v>
      </c>
      <c r="D1514" s="3" t="s">
        <v>1954</v>
      </c>
      <c r="E1514" s="3" t="s">
        <v>9053</v>
      </c>
      <c r="F1514" s="3">
        <v>1</v>
      </c>
      <c r="G1514" s="3"/>
      <c r="H1514" s="3" t="s">
        <v>9055</v>
      </c>
      <c r="I1514" s="3"/>
      <c r="J1514" s="3"/>
      <c r="K1514" s="3" t="s">
        <v>1955</v>
      </c>
      <c r="L1514" s="4"/>
      <c r="M1514" s="3" t="s">
        <v>9054</v>
      </c>
      <c r="T1514" s="3" t="s">
        <v>1957</v>
      </c>
      <c r="V1514" s="3"/>
      <c r="W1514" s="3"/>
      <c r="X1514" s="5" t="s">
        <v>1960</v>
      </c>
      <c r="Y1514" s="5"/>
      <c r="Z1514" s="3">
        <v>1</v>
      </c>
      <c r="AA1514" s="4"/>
      <c r="AB1514" s="3"/>
      <c r="AE1514" s="3"/>
      <c r="AF1514" s="3"/>
      <c r="AG1514" s="4"/>
      <c r="AH1514" s="4"/>
      <c r="AI1514" s="4"/>
      <c r="AJ1514" s="4"/>
      <c r="AK1514" s="3"/>
      <c r="AL1514" s="3"/>
      <c r="AM1514" s="3"/>
      <c r="AN1514" s="3"/>
      <c r="AO1514" s="4"/>
      <c r="AP1514" s="3"/>
      <c r="AQ1514" s="4"/>
      <c r="AR1514" s="3"/>
      <c r="AS1514" s="3"/>
      <c r="AT1514" s="4"/>
      <c r="AU1514" s="3"/>
      <c r="AV1514" s="4"/>
      <c r="AW1514" s="4"/>
      <c r="AX1514" s="4"/>
      <c r="AY1514" s="4"/>
      <c r="AZ1514" s="4"/>
      <c r="BA1514" s="4"/>
      <c r="BB1514" s="4"/>
      <c r="BC1514" s="4"/>
      <c r="BD1514" s="4"/>
      <c r="BE1514" s="4"/>
      <c r="BF1514" s="3"/>
      <c r="BG1514" s="3"/>
      <c r="BH1514" s="3"/>
      <c r="BI1514" s="4"/>
      <c r="BJ1514" s="3"/>
      <c r="BK1514" s="4"/>
      <c r="BL1514" s="4"/>
      <c r="BM1514" s="3"/>
      <c r="BN1514" s="4"/>
      <c r="BO1514" s="4"/>
      <c r="BP1514" s="4"/>
      <c r="BQ1514" s="4"/>
      <c r="BR1514" s="4"/>
      <c r="BS1514" s="4"/>
      <c r="BT1514" s="4"/>
      <c r="BU1514" s="4"/>
      <c r="BV1514" s="4"/>
      <c r="BW1514" s="4"/>
      <c r="BX1514" s="4"/>
      <c r="BY1514" s="4"/>
      <c r="BZ1514" s="4"/>
      <c r="CA1514" s="4"/>
      <c r="CB1514" s="4"/>
      <c r="CC1514" s="4"/>
      <c r="CD1514" s="4"/>
      <c r="CE1514" s="4"/>
      <c r="CF1514" s="4"/>
      <c r="CG1514" s="4"/>
      <c r="CH1514" s="4"/>
      <c r="CI1514" s="4"/>
      <c r="CJ1514" s="4"/>
      <c r="CK1514" s="4"/>
      <c r="CL1514" s="4"/>
      <c r="CM1514" s="4"/>
      <c r="CN1514" s="4"/>
      <c r="CO1514" s="4"/>
      <c r="CP1514" s="4"/>
      <c r="CQ1514" s="3"/>
      <c r="CR1514" s="3"/>
      <c r="CS1514" s="8"/>
      <c r="CT1514" s="4"/>
      <c r="CU1514" s="4"/>
      <c r="CV1514" s="4"/>
      <c r="CW1514" s="4"/>
      <c r="CX1514" s="8"/>
      <c r="CY1514" s="8"/>
      <c r="CZ1514" s="8"/>
      <c r="DA1514" s="8"/>
      <c r="DB1514" s="4"/>
      <c r="DC1514" s="4"/>
      <c r="DD1514" s="4"/>
      <c r="DE1514" s="4"/>
      <c r="DF1514" s="4"/>
      <c r="DG1514" s="4"/>
      <c r="DH1514" s="4"/>
      <c r="DI1514" s="4"/>
      <c r="DJ1514" s="4"/>
      <c r="DK1514" s="4"/>
      <c r="DL1514" s="4"/>
      <c r="DM1514" s="4"/>
      <c r="DN1514" s="4"/>
      <c r="DO1514" s="4"/>
      <c r="DP1514" s="4"/>
      <c r="DQ1514" s="4"/>
      <c r="DR1514" s="4"/>
      <c r="DS1514" s="4"/>
      <c r="DT1514" s="4"/>
      <c r="DU1514" s="4"/>
      <c r="DV1514" s="8"/>
      <c r="DW1514" s="8"/>
      <c r="DX1514" s="8"/>
      <c r="DY1514" s="8"/>
      <c r="DZ1514" s="8"/>
      <c r="EA1514" s="8"/>
      <c r="EB1514" s="4"/>
      <c r="EC1514" s="4"/>
      <c r="ED1514" s="4"/>
    </row>
    <row r="1515" spans="1:152" hidden="1">
      <c r="A1515" s="11" t="s">
        <v>9940</v>
      </c>
      <c r="B1515" s="3" t="s">
        <v>8373</v>
      </c>
      <c r="C1515" s="3">
        <v>2012</v>
      </c>
      <c r="D1515" s="3" t="s">
        <v>3075</v>
      </c>
      <c r="E1515" s="3" t="s">
        <v>9733</v>
      </c>
      <c r="F1515" s="3">
        <v>0</v>
      </c>
      <c r="G1515" s="3" t="s">
        <v>9237</v>
      </c>
      <c r="H1515" s="3" t="s">
        <v>9734</v>
      </c>
      <c r="I1515" s="3"/>
      <c r="J1515" s="3"/>
      <c r="K1515" s="3" t="s">
        <v>970</v>
      </c>
      <c r="L1515" s="4"/>
      <c r="M1515" s="3" t="s">
        <v>8411</v>
      </c>
      <c r="T1515" s="3" t="s">
        <v>3077</v>
      </c>
      <c r="V1515" s="4"/>
      <c r="W1515" s="4"/>
      <c r="X1515" s="5" t="s">
        <v>3080</v>
      </c>
      <c r="Y1515" s="5"/>
      <c r="Z1515" s="4"/>
      <c r="AA1515" s="4"/>
      <c r="AB1515" s="4"/>
      <c r="AE1515" s="4"/>
      <c r="AF1515" s="4"/>
      <c r="AG1515" s="3"/>
      <c r="AH1515" s="3"/>
      <c r="AI1515" s="3"/>
      <c r="AJ1515" s="3"/>
      <c r="AK1515" s="4"/>
      <c r="AL1515" s="3"/>
      <c r="AM1515" s="4"/>
      <c r="AN1515" s="3"/>
      <c r="AO1515" s="3"/>
      <c r="AP1515" s="4"/>
      <c r="AQ1515" s="3"/>
      <c r="AR1515" s="4"/>
      <c r="AS1515" s="4"/>
      <c r="AT1515" s="4"/>
      <c r="AU1515" s="4"/>
      <c r="AV1515" s="4"/>
      <c r="AW1515" s="4"/>
      <c r="AX1515" s="4"/>
      <c r="AY1515" s="4"/>
      <c r="AZ1515" s="4"/>
      <c r="BA1515" s="4"/>
      <c r="BB1515" s="3"/>
      <c r="BC1515" s="3"/>
      <c r="BD1515" s="3"/>
      <c r="BE1515" s="4"/>
      <c r="BF1515" s="3"/>
      <c r="BG1515" s="4"/>
      <c r="BH1515" s="3"/>
      <c r="BI1515" s="4"/>
      <c r="BJ1515" s="4"/>
      <c r="BK1515" s="4"/>
      <c r="BL1515" s="4"/>
      <c r="BM1515" s="4"/>
      <c r="BN1515" s="4"/>
      <c r="BO1515" s="4"/>
      <c r="BP1515" s="4"/>
      <c r="BQ1515" s="4"/>
      <c r="BR1515" s="4"/>
      <c r="BS1515" s="4"/>
      <c r="BT1515" s="4"/>
      <c r="BU1515" s="4"/>
      <c r="BV1515" s="4"/>
      <c r="BW1515" s="4"/>
      <c r="BX1515" s="4"/>
      <c r="BY1515" s="4"/>
      <c r="BZ1515" s="4"/>
      <c r="CA1515" s="4"/>
      <c r="CB1515" s="4"/>
      <c r="CC1515" s="3"/>
      <c r="CD1515" s="3"/>
      <c r="CE1515" s="4"/>
      <c r="CF1515" s="4"/>
      <c r="CG1515" s="4"/>
      <c r="CH1515" s="4"/>
      <c r="CI1515" s="4"/>
      <c r="CJ1515" s="4"/>
      <c r="CK1515" s="4"/>
      <c r="CL1515" s="4"/>
      <c r="CM1515" s="4"/>
      <c r="CN1515" s="4"/>
      <c r="CO1515" s="4"/>
      <c r="CP1515" s="4"/>
      <c r="CQ1515" s="4"/>
      <c r="CR1515" s="4"/>
      <c r="CS1515" s="4"/>
      <c r="CT1515" s="4"/>
      <c r="CU1515" s="4"/>
      <c r="CV1515" s="4"/>
      <c r="CW1515" s="4"/>
      <c r="CX1515" s="4"/>
      <c r="CY1515" s="4"/>
      <c r="CZ1515" s="4"/>
      <c r="DA1515" s="4"/>
      <c r="DB1515" s="4"/>
      <c r="DC1515" s="4"/>
      <c r="DD1515" s="4"/>
      <c r="DE1515" s="4"/>
      <c r="DF1515" s="4"/>
      <c r="DG1515" s="4"/>
      <c r="DH1515" s="4"/>
      <c r="DI1515" s="4"/>
      <c r="DJ1515" s="4"/>
      <c r="DK1515" s="4"/>
      <c r="DL1515" s="4"/>
      <c r="DM1515" s="4"/>
      <c r="DN1515" s="4"/>
      <c r="DO1515" s="4"/>
      <c r="DP1515" s="4"/>
    </row>
    <row r="1516" spans="1:152" hidden="1">
      <c r="A1516" s="11" t="s">
        <v>9940</v>
      </c>
      <c r="B1516" s="3" t="s">
        <v>8373</v>
      </c>
      <c r="C1516" s="3">
        <v>2012</v>
      </c>
      <c r="D1516" s="3" t="s">
        <v>9735</v>
      </c>
      <c r="E1516" s="3" t="s">
        <v>9736</v>
      </c>
      <c r="F1516" s="3">
        <v>1</v>
      </c>
      <c r="G1516" s="3"/>
      <c r="H1516" s="3" t="s">
        <v>9739</v>
      </c>
      <c r="I1516" s="3"/>
      <c r="J1516" s="3"/>
      <c r="K1516" s="3" t="s">
        <v>3053</v>
      </c>
      <c r="L1516" s="4"/>
      <c r="M1516" s="3" t="s">
        <v>8701</v>
      </c>
      <c r="T1516" s="3" t="s">
        <v>9737</v>
      </c>
      <c r="V1516" s="3"/>
      <c r="W1516" s="3"/>
      <c r="X1516" s="5" t="s">
        <v>9738</v>
      </c>
      <c r="Y1516" s="5"/>
      <c r="Z1516" s="3">
        <v>0</v>
      </c>
      <c r="AA1516" s="3" t="s">
        <v>9178</v>
      </c>
      <c r="AB1516" s="3"/>
      <c r="AE1516" s="3"/>
      <c r="AF1516" s="4"/>
      <c r="AG1516" s="4"/>
      <c r="AH1516" s="4"/>
      <c r="AI1516" s="4"/>
      <c r="AJ1516" s="4"/>
      <c r="AK1516" s="3"/>
      <c r="AL1516" s="3"/>
      <c r="AM1516" s="3"/>
      <c r="AN1516" s="3"/>
      <c r="AO1516" s="4"/>
      <c r="AP1516" s="3"/>
      <c r="AQ1516" s="4"/>
      <c r="AR1516" s="3"/>
      <c r="AS1516" s="3"/>
      <c r="AT1516" s="4"/>
      <c r="AU1516" s="3"/>
      <c r="AV1516" s="4"/>
      <c r="AW1516" s="4"/>
      <c r="AX1516" s="4"/>
      <c r="AY1516" s="4"/>
      <c r="AZ1516" s="4"/>
      <c r="BA1516" s="4"/>
      <c r="BB1516" s="4"/>
      <c r="BC1516" s="4"/>
      <c r="BD1516" s="4"/>
      <c r="BE1516" s="4"/>
      <c r="BF1516" s="3"/>
      <c r="BG1516" s="3"/>
      <c r="BH1516" s="3"/>
      <c r="BI1516" s="4"/>
      <c r="BJ1516" s="3"/>
      <c r="BK1516" s="4"/>
      <c r="BL1516" s="3"/>
      <c r="BM1516" s="4"/>
      <c r="BN1516" s="4"/>
      <c r="BO1516" s="4"/>
      <c r="BP1516" s="4"/>
      <c r="BQ1516" s="4"/>
      <c r="BR1516" s="4"/>
      <c r="BS1516" s="4"/>
      <c r="BT1516" s="4"/>
      <c r="BU1516" s="4"/>
      <c r="BV1516" s="4"/>
      <c r="BW1516" s="4"/>
      <c r="BX1516" s="4"/>
      <c r="BY1516" s="4"/>
      <c r="BZ1516" s="4"/>
      <c r="CA1516" s="4"/>
      <c r="CB1516" s="4"/>
      <c r="CC1516" s="3"/>
      <c r="CD1516" s="3"/>
      <c r="CE1516" s="4"/>
      <c r="CF1516" s="4"/>
      <c r="CG1516" s="4"/>
      <c r="CH1516" s="4"/>
      <c r="CI1516" s="4"/>
      <c r="CJ1516" s="4"/>
      <c r="CK1516" s="4"/>
      <c r="CL1516" s="4"/>
      <c r="CM1516" s="4"/>
      <c r="CN1516" s="4"/>
      <c r="CO1516" s="4"/>
      <c r="CP1516" s="4"/>
      <c r="CQ1516" s="4"/>
      <c r="CR1516" s="4"/>
      <c r="CS1516" s="4"/>
      <c r="CT1516" s="4"/>
      <c r="CU1516" s="4"/>
      <c r="CV1516" s="4"/>
      <c r="CW1516" s="4"/>
      <c r="CX1516" s="4"/>
      <c r="CY1516" s="4"/>
      <c r="CZ1516" s="4"/>
      <c r="DA1516" s="4"/>
      <c r="DB1516" s="4"/>
      <c r="DC1516" s="4"/>
      <c r="DD1516" s="4"/>
      <c r="DE1516" s="4"/>
      <c r="DF1516" s="4"/>
      <c r="DG1516" s="4"/>
      <c r="DH1516" s="4"/>
      <c r="DI1516" s="4"/>
      <c r="DJ1516" s="4"/>
      <c r="DK1516" s="4"/>
      <c r="DL1516" s="4"/>
      <c r="DM1516" s="4"/>
      <c r="DN1516" s="4"/>
      <c r="DO1516" s="4"/>
      <c r="DP1516" s="4"/>
    </row>
    <row r="1517" spans="1:152" hidden="1">
      <c r="A1517" s="11" t="s">
        <v>9940</v>
      </c>
      <c r="B1517" s="3" t="s">
        <v>8386</v>
      </c>
      <c r="C1517" s="3">
        <v>2015</v>
      </c>
      <c r="D1517" s="3" t="s">
        <v>9740</v>
      </c>
      <c r="E1517" s="3" t="s">
        <v>9741</v>
      </c>
      <c r="F1517" s="3">
        <v>0</v>
      </c>
      <c r="G1517" s="3" t="s">
        <v>9237</v>
      </c>
      <c r="H1517" s="3" t="s">
        <v>9745</v>
      </c>
      <c r="I1517" s="3"/>
      <c r="J1517" s="3"/>
      <c r="K1517" s="3" t="s">
        <v>9742</v>
      </c>
      <c r="L1517" s="3" t="s">
        <v>9743</v>
      </c>
      <c r="M1517" s="4"/>
      <c r="T1517" s="4"/>
      <c r="V1517" s="4"/>
      <c r="W1517" s="4"/>
      <c r="X1517" s="5" t="s">
        <v>9744</v>
      </c>
      <c r="Y1517" s="5"/>
      <c r="Z1517" s="4"/>
      <c r="AA1517" s="4"/>
      <c r="AB1517" s="4"/>
      <c r="AE1517" s="4"/>
      <c r="AF1517" s="4"/>
      <c r="AG1517" s="3"/>
      <c r="AH1517" s="3"/>
      <c r="AI1517" s="3"/>
      <c r="AJ1517" s="3"/>
      <c r="AK1517" s="4"/>
      <c r="AL1517" s="3"/>
      <c r="AM1517" s="4"/>
      <c r="AN1517" s="4"/>
      <c r="AO1517" s="4"/>
      <c r="AP1517" s="4"/>
      <c r="AQ1517" s="4"/>
      <c r="AR1517" s="4"/>
      <c r="AS1517" s="4"/>
      <c r="AT1517" s="4"/>
      <c r="AU1517" s="4"/>
      <c r="AV1517" s="4"/>
      <c r="AW1517" s="3"/>
      <c r="AX1517" s="3"/>
      <c r="AY1517" s="4"/>
      <c r="AZ1517" s="4"/>
      <c r="BA1517" s="3"/>
      <c r="BB1517" s="3"/>
      <c r="BC1517" s="3"/>
      <c r="BD1517" s="4"/>
      <c r="BE1517" s="4"/>
      <c r="BF1517" s="4"/>
      <c r="BG1517" s="4"/>
      <c r="BH1517" s="4"/>
      <c r="BI1517" s="3"/>
      <c r="BJ1517" s="3"/>
      <c r="BK1517" s="4"/>
      <c r="BL1517" s="4"/>
      <c r="BM1517" s="4"/>
      <c r="BN1517" s="4"/>
      <c r="BO1517" s="4"/>
      <c r="BP1517" s="4"/>
      <c r="BQ1517" s="4"/>
      <c r="BR1517" s="4"/>
      <c r="BS1517" s="4"/>
      <c r="BT1517" s="4"/>
      <c r="BU1517" s="4"/>
      <c r="BV1517" s="4"/>
      <c r="BW1517" s="4"/>
      <c r="BX1517" s="4"/>
      <c r="BY1517" s="4"/>
      <c r="BZ1517" s="4"/>
      <c r="CA1517" s="4"/>
      <c r="CB1517" s="4"/>
      <c r="CC1517" s="4"/>
      <c r="CD1517" s="4"/>
      <c r="CE1517" s="4"/>
      <c r="CF1517" s="4"/>
      <c r="CG1517" s="4"/>
      <c r="CH1517" s="4"/>
      <c r="CI1517" s="4"/>
      <c r="CJ1517" s="4"/>
      <c r="CK1517" s="4"/>
      <c r="CL1517" s="4"/>
      <c r="CM1517" s="4"/>
      <c r="CN1517" s="4"/>
      <c r="CO1517" s="4"/>
      <c r="CP1517" s="4"/>
      <c r="CQ1517" s="4"/>
      <c r="CR1517" s="4"/>
      <c r="CS1517" s="4"/>
      <c r="CT1517" s="4"/>
      <c r="CU1517" s="4"/>
      <c r="CV1517" s="4"/>
      <c r="CW1517" s="4"/>
      <c r="CX1517" s="4"/>
      <c r="CY1517" s="4"/>
      <c r="CZ1517" s="3"/>
      <c r="DA1517" s="3"/>
      <c r="DB1517" s="4"/>
      <c r="DC1517" s="4"/>
      <c r="DD1517" s="4"/>
      <c r="DE1517" s="4"/>
      <c r="DF1517" s="4"/>
      <c r="DG1517" s="4"/>
      <c r="DH1517" s="4"/>
      <c r="DI1517" s="4"/>
      <c r="DJ1517" s="4"/>
      <c r="DK1517" s="4"/>
      <c r="DL1517" s="4"/>
      <c r="DM1517" s="4"/>
      <c r="DN1517" s="4"/>
      <c r="DO1517" s="4"/>
      <c r="DP1517" s="4"/>
      <c r="DQ1517" s="4"/>
      <c r="DR1517" s="4"/>
      <c r="DS1517" s="4"/>
      <c r="DT1517" s="4"/>
      <c r="DU1517" s="4"/>
      <c r="DV1517" s="4"/>
      <c r="DW1517" s="4"/>
      <c r="DX1517" s="4"/>
      <c r="DY1517" s="4"/>
      <c r="DZ1517" s="4"/>
      <c r="EA1517" s="4"/>
      <c r="EB1517" s="4"/>
      <c r="EC1517" s="4"/>
      <c r="ED1517" s="4"/>
      <c r="EE1517" s="4"/>
      <c r="EF1517" s="4"/>
      <c r="EG1517" s="4"/>
      <c r="EH1517" s="4"/>
      <c r="EI1517" s="4"/>
      <c r="EJ1517" s="4"/>
      <c r="EK1517" s="4"/>
      <c r="EL1517" s="4"/>
      <c r="EM1517" s="4"/>
    </row>
    <row r="1518" spans="1:152" hidden="1">
      <c r="A1518" s="11" t="s">
        <v>9940</v>
      </c>
      <c r="B1518" s="3" t="s">
        <v>8373</v>
      </c>
      <c r="C1518" s="3">
        <v>2008</v>
      </c>
      <c r="D1518" s="3" t="s">
        <v>9056</v>
      </c>
      <c r="E1518" s="3" t="s">
        <v>9057</v>
      </c>
      <c r="F1518" s="3">
        <v>1</v>
      </c>
      <c r="G1518" s="3"/>
      <c r="H1518" s="3" t="s">
        <v>9058</v>
      </c>
      <c r="I1518" s="3"/>
      <c r="J1518" s="3"/>
      <c r="K1518" s="3" t="s">
        <v>370</v>
      </c>
      <c r="L1518" s="4"/>
      <c r="M1518" s="3" t="s">
        <v>8582</v>
      </c>
      <c r="T1518" s="3" t="s">
        <v>1637</v>
      </c>
      <c r="V1518" s="3"/>
      <c r="W1518" s="4"/>
      <c r="X1518" s="5" t="s">
        <v>1640</v>
      </c>
      <c r="Y1518" s="5"/>
      <c r="Z1518" s="3">
        <v>1</v>
      </c>
      <c r="AA1518" s="4"/>
      <c r="AB1518" s="4"/>
      <c r="AE1518" s="3"/>
      <c r="AF1518" s="3"/>
      <c r="AG1518" s="4"/>
      <c r="AH1518" s="4"/>
      <c r="AI1518" s="4"/>
      <c r="AJ1518" s="4"/>
      <c r="AK1518" s="3"/>
      <c r="AL1518" s="3"/>
      <c r="AM1518" s="3"/>
      <c r="AN1518" s="3"/>
      <c r="AO1518" s="4"/>
      <c r="AP1518" s="3"/>
      <c r="AQ1518" s="4"/>
      <c r="AR1518" s="3"/>
      <c r="AS1518" s="3"/>
      <c r="AT1518" s="4"/>
      <c r="AU1518" s="3"/>
      <c r="AV1518" s="4"/>
      <c r="AW1518" s="4"/>
      <c r="AX1518" s="4"/>
      <c r="AY1518" s="4"/>
      <c r="AZ1518" s="4"/>
      <c r="BA1518" s="4"/>
      <c r="BB1518" s="4"/>
      <c r="BC1518" s="4"/>
      <c r="BD1518" s="4"/>
      <c r="BE1518" s="4"/>
      <c r="BF1518" s="3"/>
      <c r="BG1518" s="3"/>
      <c r="BH1518" s="3"/>
      <c r="BI1518" s="4"/>
      <c r="BJ1518" s="3"/>
      <c r="BK1518" s="4"/>
      <c r="BL1518" s="4"/>
      <c r="BM1518" s="3"/>
      <c r="BN1518" s="4"/>
      <c r="BO1518" s="4"/>
      <c r="BP1518" s="4"/>
      <c r="BQ1518" s="4"/>
      <c r="BR1518" s="4"/>
      <c r="BS1518" s="4"/>
      <c r="BT1518" s="4"/>
      <c r="BU1518" s="4"/>
      <c r="BV1518" s="4"/>
      <c r="BW1518" s="4"/>
      <c r="BX1518" s="4"/>
      <c r="BY1518" s="4"/>
      <c r="BZ1518" s="4"/>
      <c r="CA1518" s="4"/>
      <c r="CB1518" s="4"/>
      <c r="CC1518" s="4"/>
      <c r="CD1518" s="4"/>
      <c r="CE1518" s="4"/>
      <c r="CF1518" s="4"/>
      <c r="CG1518" s="4"/>
      <c r="CH1518" s="3"/>
      <c r="CI1518" s="3"/>
      <c r="CJ1518" s="8"/>
      <c r="CK1518" s="4"/>
      <c r="CL1518" s="4"/>
      <c r="CM1518" s="4"/>
      <c r="CN1518" s="4"/>
      <c r="CO1518" s="8"/>
      <c r="CP1518" s="8"/>
      <c r="CQ1518" s="8"/>
      <c r="CR1518" s="8"/>
      <c r="CS1518" s="4"/>
      <c r="CT1518" s="4"/>
      <c r="CU1518" s="4"/>
      <c r="CV1518" s="4"/>
      <c r="CW1518" s="4"/>
      <c r="CX1518" s="4"/>
      <c r="CY1518" s="4"/>
      <c r="CZ1518" s="4"/>
      <c r="DA1518" s="4"/>
      <c r="DB1518" s="4"/>
      <c r="DC1518" s="4"/>
      <c r="DD1518" s="4"/>
      <c r="DE1518" s="4"/>
      <c r="DF1518" s="4"/>
      <c r="DG1518" s="4"/>
      <c r="DH1518" s="4"/>
      <c r="DI1518" s="4"/>
      <c r="DJ1518" s="4"/>
      <c r="DK1518" s="4"/>
      <c r="DL1518" s="4"/>
      <c r="DM1518" s="8"/>
      <c r="DN1518" s="8"/>
      <c r="DO1518" s="8"/>
      <c r="DP1518" s="8"/>
      <c r="DQ1518" s="8"/>
      <c r="DR1518" s="8"/>
      <c r="DS1518" s="4"/>
      <c r="DT1518" s="4"/>
      <c r="DU1518" s="4"/>
    </row>
    <row r="1519" spans="1:152" hidden="1">
      <c r="A1519" s="11" t="s">
        <v>9940</v>
      </c>
      <c r="B1519" s="3" t="s">
        <v>8373</v>
      </c>
      <c r="C1519" s="3">
        <v>1979</v>
      </c>
      <c r="D1519" s="3" t="s">
        <v>9059</v>
      </c>
      <c r="E1519" s="3" t="s">
        <v>9060</v>
      </c>
      <c r="F1519" s="3">
        <v>1</v>
      </c>
      <c r="G1519" s="3"/>
      <c r="H1519" s="3" t="s">
        <v>9063</v>
      </c>
      <c r="I1519" s="3"/>
      <c r="J1519" s="3"/>
      <c r="K1519" s="3" t="s">
        <v>3609</v>
      </c>
      <c r="L1519" s="4"/>
      <c r="M1519" s="3" t="s">
        <v>9028</v>
      </c>
      <c r="T1519" s="3" t="s">
        <v>9061</v>
      </c>
      <c r="V1519" s="3"/>
      <c r="W1519" s="4"/>
      <c r="X1519" s="5" t="s">
        <v>9062</v>
      </c>
      <c r="Y1519" s="5"/>
      <c r="Z1519" s="3">
        <v>1</v>
      </c>
      <c r="AA1519" s="4"/>
      <c r="AB1519" s="4"/>
      <c r="AE1519" s="3"/>
      <c r="AF1519" s="3"/>
      <c r="AG1519" s="4"/>
      <c r="AH1519" s="4"/>
      <c r="AI1519" s="4"/>
      <c r="AJ1519" s="4"/>
      <c r="AK1519" s="3"/>
      <c r="AL1519" s="3"/>
      <c r="AM1519" s="3"/>
      <c r="AN1519" s="3"/>
      <c r="AO1519" s="4"/>
      <c r="AP1519" s="3"/>
      <c r="AQ1519" s="4"/>
      <c r="AR1519" s="3"/>
      <c r="AS1519" s="3"/>
      <c r="AT1519" s="4"/>
      <c r="AU1519" s="3"/>
      <c r="AV1519" s="4"/>
      <c r="AW1519" s="4"/>
      <c r="AX1519" s="4"/>
      <c r="AY1519" s="4"/>
      <c r="AZ1519" s="4"/>
      <c r="BA1519" s="4"/>
      <c r="BB1519" s="4"/>
      <c r="BC1519" s="4"/>
      <c r="BD1519" s="4"/>
      <c r="BE1519" s="4"/>
      <c r="BF1519" s="3"/>
      <c r="BG1519" s="3"/>
      <c r="BH1519" s="3"/>
      <c r="BI1519" s="4"/>
      <c r="BJ1519" s="3"/>
      <c r="BK1519" s="4"/>
      <c r="BL1519" s="4"/>
      <c r="BM1519" s="3"/>
      <c r="BN1519" s="4"/>
      <c r="BO1519" s="4"/>
      <c r="BP1519" s="4"/>
      <c r="BQ1519" s="4"/>
      <c r="BR1519" s="4"/>
      <c r="BS1519" s="4"/>
      <c r="BT1519" s="4"/>
      <c r="BU1519" s="4"/>
      <c r="BV1519" s="4"/>
      <c r="BW1519" s="4"/>
      <c r="BX1519" s="4"/>
      <c r="BY1519" s="4"/>
      <c r="BZ1519" s="4"/>
      <c r="CA1519" s="4"/>
      <c r="CB1519" s="4"/>
      <c r="CC1519" s="4"/>
      <c r="CD1519" s="4"/>
      <c r="CE1519" s="4"/>
      <c r="CF1519" s="4"/>
      <c r="CG1519" s="4"/>
      <c r="CH1519" s="4"/>
      <c r="CI1519" s="4"/>
      <c r="CJ1519" s="4"/>
      <c r="CK1519" s="4"/>
      <c r="CL1519" s="4"/>
      <c r="CM1519" s="4"/>
      <c r="CN1519" s="4"/>
      <c r="CO1519" s="4"/>
      <c r="CP1519" s="4"/>
      <c r="CQ1519" s="4"/>
      <c r="CR1519" s="4"/>
      <c r="CS1519" s="4"/>
      <c r="CT1519" s="4"/>
      <c r="CU1519" s="4"/>
      <c r="CV1519" s="4"/>
      <c r="CW1519" s="4"/>
      <c r="CX1519" s="4"/>
      <c r="CY1519" s="4"/>
      <c r="CZ1519" s="4"/>
      <c r="DA1519" s="4"/>
      <c r="DB1519" s="4"/>
      <c r="DC1519" s="4"/>
      <c r="DD1519" s="4"/>
      <c r="DE1519" s="4"/>
      <c r="DF1519" s="4"/>
      <c r="DG1519" s="4"/>
      <c r="DH1519" s="4"/>
      <c r="DI1519" s="3"/>
      <c r="DJ1519" s="3"/>
      <c r="DK1519" s="8"/>
      <c r="DL1519" s="4"/>
      <c r="DM1519" s="4"/>
      <c r="DN1519" s="4"/>
      <c r="DO1519" s="4"/>
      <c r="DP1519" s="8"/>
      <c r="DQ1519" s="8"/>
      <c r="DR1519" s="8"/>
      <c r="DS1519" s="8"/>
      <c r="DT1519" s="4"/>
      <c r="DU1519" s="4"/>
      <c r="DV1519" s="4"/>
      <c r="DW1519" s="4"/>
      <c r="DX1519" s="4"/>
      <c r="DY1519" s="4"/>
      <c r="DZ1519" s="4"/>
      <c r="EA1519" s="4"/>
      <c r="EB1519" s="4"/>
      <c r="EC1519" s="4"/>
      <c r="ED1519" s="4"/>
      <c r="EE1519" s="4"/>
      <c r="EF1519" s="4"/>
      <c r="EG1519" s="4"/>
      <c r="EH1519" s="4"/>
      <c r="EI1519" s="4"/>
      <c r="EJ1519" s="4"/>
      <c r="EK1519" s="4"/>
      <c r="EL1519" s="4"/>
      <c r="EM1519" s="4"/>
      <c r="EN1519" s="8"/>
      <c r="EO1519" s="8"/>
      <c r="EP1519" s="8"/>
      <c r="EQ1519" s="8"/>
      <c r="ER1519" s="8"/>
      <c r="ES1519" s="8"/>
      <c r="ET1519" s="4"/>
      <c r="EU1519" s="4"/>
      <c r="EV1519" s="4"/>
    </row>
    <row r="1520" spans="1:152" hidden="1">
      <c r="A1520" s="11" t="s">
        <v>9940</v>
      </c>
      <c r="B1520" s="3" t="s">
        <v>8373</v>
      </c>
      <c r="C1520" s="3">
        <v>1983</v>
      </c>
      <c r="D1520" s="3" t="s">
        <v>9064</v>
      </c>
      <c r="E1520" s="3" t="s">
        <v>9065</v>
      </c>
      <c r="F1520" s="3">
        <v>1</v>
      </c>
      <c r="G1520" s="3"/>
      <c r="H1520" s="3" t="s">
        <v>9069</v>
      </c>
      <c r="I1520" s="3"/>
      <c r="J1520" s="3"/>
      <c r="K1520" s="3" t="s">
        <v>9066</v>
      </c>
      <c r="L1520" s="4"/>
      <c r="M1520" s="3" t="s">
        <v>9067</v>
      </c>
      <c r="T1520" s="4"/>
      <c r="V1520" s="3"/>
      <c r="W1520" s="4"/>
      <c r="X1520" s="5" t="s">
        <v>9068</v>
      </c>
      <c r="Y1520" s="5"/>
      <c r="Z1520" s="3">
        <v>1</v>
      </c>
      <c r="AA1520" s="4"/>
      <c r="AB1520" s="4"/>
      <c r="AE1520" s="3"/>
      <c r="AF1520" s="3"/>
      <c r="AG1520" s="4"/>
      <c r="AH1520" s="4"/>
      <c r="AI1520" s="3"/>
      <c r="AJ1520" s="3"/>
      <c r="AK1520" s="3"/>
      <c r="AL1520" s="3"/>
      <c r="AM1520" s="3"/>
      <c r="AN1520" s="3"/>
      <c r="AO1520" s="4"/>
      <c r="AP1520" s="3"/>
      <c r="AQ1520" s="4"/>
      <c r="AR1520" s="3"/>
      <c r="AS1520" s="3"/>
      <c r="AT1520" s="4"/>
      <c r="AU1520" s="3"/>
      <c r="AV1520" s="4"/>
      <c r="AW1520" s="4"/>
      <c r="AX1520" s="4"/>
      <c r="AY1520" s="4"/>
      <c r="AZ1520" s="4"/>
      <c r="BA1520" s="4"/>
      <c r="BB1520" s="4"/>
      <c r="BC1520" s="4"/>
      <c r="BD1520" s="4"/>
      <c r="BE1520" s="4"/>
      <c r="BF1520" s="3"/>
      <c r="BG1520" s="3"/>
      <c r="BH1520" s="3"/>
      <c r="BI1520" s="4"/>
      <c r="BJ1520" s="3"/>
      <c r="BK1520" s="4"/>
      <c r="BL1520" s="4"/>
      <c r="BM1520" s="3"/>
      <c r="BN1520" s="4"/>
      <c r="BO1520" s="4"/>
      <c r="BP1520" s="4"/>
      <c r="BQ1520" s="4"/>
      <c r="BR1520" s="4"/>
      <c r="BS1520" s="4"/>
      <c r="BT1520" s="4"/>
      <c r="BU1520" s="4"/>
      <c r="BV1520" s="4"/>
      <c r="BW1520" s="4"/>
      <c r="BX1520" s="4"/>
      <c r="BY1520" s="4"/>
      <c r="BZ1520" s="4"/>
      <c r="CA1520" s="4"/>
      <c r="CB1520" s="4"/>
      <c r="CC1520" s="4"/>
      <c r="CD1520" s="4"/>
      <c r="CE1520" s="4"/>
      <c r="CF1520" s="4"/>
      <c r="CG1520" s="4"/>
      <c r="CH1520" s="4"/>
      <c r="CI1520" s="4"/>
      <c r="CJ1520" s="4"/>
      <c r="CK1520" s="4"/>
      <c r="CL1520" s="4"/>
      <c r="CM1520" s="4"/>
      <c r="CN1520" s="4"/>
      <c r="CO1520" s="4"/>
      <c r="CP1520" s="4"/>
      <c r="CQ1520" s="4"/>
      <c r="CR1520" s="4"/>
      <c r="CS1520" s="4"/>
      <c r="CT1520" s="4"/>
      <c r="CU1520" s="4"/>
      <c r="CV1520" s="4"/>
      <c r="CW1520" s="4"/>
      <c r="CX1520" s="4"/>
      <c r="CY1520" s="4"/>
      <c r="CZ1520" s="4"/>
      <c r="DA1520" s="4"/>
      <c r="DB1520" s="4"/>
      <c r="DC1520" s="4"/>
      <c r="DD1520" s="4"/>
      <c r="DE1520" s="4"/>
      <c r="DF1520" s="3"/>
      <c r="DG1520" s="3"/>
      <c r="DH1520" s="6"/>
      <c r="DI1520" s="4"/>
      <c r="DJ1520" s="4"/>
      <c r="DK1520" s="4"/>
      <c r="DL1520" s="4"/>
      <c r="DM1520" s="8"/>
      <c r="DN1520" s="8"/>
      <c r="DO1520" s="8"/>
      <c r="DP1520" s="8"/>
      <c r="DQ1520" s="4"/>
      <c r="DR1520" s="4"/>
      <c r="DS1520" s="4"/>
      <c r="DT1520" s="4"/>
      <c r="DU1520" s="8"/>
      <c r="DV1520" s="4"/>
      <c r="DW1520" s="4"/>
      <c r="DX1520" s="4"/>
      <c r="DY1520" s="4"/>
      <c r="DZ1520" s="4"/>
      <c r="EA1520" s="4"/>
      <c r="EB1520" s="4"/>
      <c r="EC1520" s="4"/>
      <c r="ED1520" s="4"/>
      <c r="EE1520" s="4"/>
      <c r="EF1520" s="4"/>
      <c r="EG1520" s="4"/>
      <c r="EH1520" s="4"/>
      <c r="EI1520" s="4"/>
      <c r="EJ1520" s="4"/>
      <c r="EK1520" s="8"/>
      <c r="EL1520" s="8"/>
      <c r="EM1520" s="8"/>
      <c r="EN1520" s="8"/>
      <c r="EO1520" s="8"/>
      <c r="EP1520" s="8"/>
      <c r="EQ1520" s="4"/>
      <c r="ER1520" s="4"/>
      <c r="ES1520" s="4"/>
    </row>
    <row r="1521" spans="1:146" hidden="1">
      <c r="A1521" s="11" t="s">
        <v>9940</v>
      </c>
      <c r="B1521" s="3" t="s">
        <v>8373</v>
      </c>
      <c r="C1521" s="3">
        <v>2013</v>
      </c>
      <c r="D1521" s="3" t="s">
        <v>2642</v>
      </c>
      <c r="E1521" s="3" t="s">
        <v>9746</v>
      </c>
      <c r="F1521" s="3">
        <v>0</v>
      </c>
      <c r="G1521" s="3" t="s">
        <v>9237</v>
      </c>
      <c r="H1521" s="3" t="s">
        <v>2646</v>
      </c>
      <c r="I1521" s="3"/>
      <c r="J1521" s="3"/>
      <c r="K1521" s="3" t="s">
        <v>132</v>
      </c>
      <c r="L1521" s="4"/>
      <c r="M1521" s="3" t="s">
        <v>8382</v>
      </c>
      <c r="T1521" s="3" t="s">
        <v>2644</v>
      </c>
      <c r="V1521" s="4"/>
      <c r="W1521" s="4"/>
      <c r="X1521" s="5" t="s">
        <v>2647</v>
      </c>
      <c r="Y1521" s="5"/>
      <c r="Z1521" s="4"/>
      <c r="AA1521" s="4"/>
      <c r="AB1521" s="4"/>
      <c r="AE1521" s="4"/>
      <c r="AF1521" s="4"/>
      <c r="AG1521" s="3"/>
      <c r="AH1521" s="3"/>
      <c r="AI1521" s="3"/>
      <c r="AJ1521" s="3"/>
      <c r="AK1521" s="4"/>
      <c r="AL1521" s="3"/>
      <c r="AM1521" s="4"/>
      <c r="AN1521" s="3"/>
      <c r="AO1521" s="3"/>
      <c r="AP1521" s="4"/>
      <c r="AQ1521" s="3"/>
      <c r="AR1521" s="4"/>
      <c r="AS1521" s="4"/>
      <c r="AT1521" s="4"/>
      <c r="AU1521" s="4"/>
      <c r="AV1521" s="4"/>
      <c r="AW1521" s="4"/>
      <c r="AX1521" s="4"/>
      <c r="AY1521" s="4"/>
      <c r="AZ1521" s="4"/>
      <c r="BA1521" s="4"/>
      <c r="BB1521" s="3"/>
      <c r="BC1521" s="3"/>
      <c r="BD1521" s="3"/>
      <c r="BE1521" s="4"/>
      <c r="BF1521" s="3"/>
      <c r="BG1521" s="4"/>
      <c r="BH1521" s="4"/>
      <c r="BI1521" s="3"/>
      <c r="BJ1521" s="4"/>
      <c r="BK1521" s="4"/>
      <c r="BL1521" s="4"/>
      <c r="BM1521" s="4"/>
      <c r="BN1521" s="4"/>
      <c r="BO1521" s="4"/>
      <c r="BP1521" s="4"/>
      <c r="BQ1521" s="4"/>
      <c r="BR1521" s="4"/>
      <c r="BS1521" s="4"/>
      <c r="BT1521" s="4"/>
      <c r="BU1521" s="4"/>
      <c r="BV1521" s="4"/>
      <c r="BW1521" s="4"/>
      <c r="BX1521" s="4"/>
      <c r="BY1521" s="4"/>
      <c r="BZ1521" s="4"/>
      <c r="CA1521" s="4"/>
      <c r="CB1521" s="4"/>
      <c r="CC1521" s="4"/>
      <c r="CD1521" s="4"/>
      <c r="CE1521" s="4"/>
      <c r="CF1521" s="4"/>
      <c r="CG1521" s="4"/>
      <c r="CH1521" s="4"/>
      <c r="CI1521" s="4"/>
      <c r="CJ1521" s="4"/>
      <c r="CK1521" s="4"/>
      <c r="CL1521" s="4"/>
      <c r="CM1521" s="4"/>
      <c r="CN1521" s="4"/>
      <c r="CO1521" s="4"/>
      <c r="CP1521" s="4"/>
      <c r="CQ1521" s="4"/>
      <c r="CR1521" s="4"/>
      <c r="CS1521" s="4"/>
      <c r="CT1521" s="4"/>
      <c r="CU1521" s="4"/>
      <c r="CV1521" s="4"/>
      <c r="CW1521" s="4"/>
      <c r="CX1521" s="4"/>
      <c r="CY1521" s="3"/>
      <c r="CZ1521" s="3"/>
      <c r="DA1521" s="4"/>
      <c r="DB1521" s="4"/>
      <c r="DC1521" s="4"/>
      <c r="DD1521" s="4"/>
      <c r="DE1521" s="4"/>
      <c r="DF1521" s="4"/>
      <c r="DG1521" s="4"/>
      <c r="DH1521" s="4"/>
      <c r="DI1521" s="4"/>
      <c r="DJ1521" s="4"/>
      <c r="DK1521" s="4"/>
      <c r="DL1521" s="4"/>
      <c r="DM1521" s="4"/>
      <c r="DN1521" s="4"/>
      <c r="DO1521" s="4"/>
      <c r="DP1521" s="4"/>
      <c r="DQ1521" s="4"/>
      <c r="DR1521" s="4"/>
      <c r="DS1521" s="4"/>
      <c r="DT1521" s="4"/>
      <c r="DU1521" s="4"/>
      <c r="DV1521" s="4"/>
      <c r="DW1521" s="4"/>
      <c r="DX1521" s="4"/>
      <c r="DY1521" s="4"/>
      <c r="DZ1521" s="4"/>
      <c r="EA1521" s="4"/>
      <c r="EB1521" s="4"/>
      <c r="EC1521" s="4"/>
      <c r="ED1521" s="4"/>
      <c r="EE1521" s="4"/>
      <c r="EF1521" s="4"/>
      <c r="EG1521" s="4"/>
      <c r="EH1521" s="4"/>
      <c r="EI1521" s="4"/>
      <c r="EJ1521" s="4"/>
      <c r="EK1521" s="4"/>
      <c r="EL1521" s="4"/>
    </row>
    <row r="1522" spans="1:146" hidden="1">
      <c r="A1522" s="11" t="s">
        <v>9940</v>
      </c>
      <c r="B1522" s="3" t="s">
        <v>8373</v>
      </c>
      <c r="C1522" s="3">
        <v>2013</v>
      </c>
      <c r="D1522" s="3" t="s">
        <v>9747</v>
      </c>
      <c r="E1522" s="3" t="s">
        <v>9748</v>
      </c>
      <c r="F1522" s="3">
        <v>1</v>
      </c>
      <c r="G1522" s="3"/>
      <c r="H1522" s="3" t="s">
        <v>9752</v>
      </c>
      <c r="I1522" s="3"/>
      <c r="J1522" s="3"/>
      <c r="K1522" s="3" t="s">
        <v>4232</v>
      </c>
      <c r="L1522" s="4"/>
      <c r="M1522" s="3" t="s">
        <v>9749</v>
      </c>
      <c r="T1522" s="3" t="s">
        <v>9750</v>
      </c>
      <c r="V1522" s="3"/>
      <c r="W1522" s="3"/>
      <c r="X1522" s="5" t="s">
        <v>9751</v>
      </c>
      <c r="Y1522" s="5"/>
      <c r="Z1522" s="3">
        <v>0</v>
      </c>
      <c r="AA1522" s="3" t="s">
        <v>9178</v>
      </c>
      <c r="AB1522" s="4"/>
      <c r="AE1522" s="3"/>
      <c r="AF1522" s="4"/>
      <c r="AG1522" s="4"/>
      <c r="AH1522" s="4"/>
      <c r="AI1522" s="4"/>
      <c r="AJ1522" s="4"/>
      <c r="AK1522" s="3"/>
      <c r="AL1522" s="3"/>
      <c r="AM1522" s="3"/>
      <c r="AN1522" s="3"/>
      <c r="AO1522" s="4"/>
      <c r="AP1522" s="3"/>
      <c r="AQ1522" s="4"/>
      <c r="AR1522" s="3"/>
      <c r="AS1522" s="3"/>
      <c r="AT1522" s="4"/>
      <c r="AU1522" s="3"/>
      <c r="AV1522" s="4"/>
      <c r="AW1522" s="4"/>
      <c r="AX1522" s="4"/>
      <c r="AY1522" s="4"/>
      <c r="AZ1522" s="4"/>
      <c r="BA1522" s="4"/>
      <c r="BB1522" s="4"/>
      <c r="BC1522" s="4"/>
      <c r="BD1522" s="4"/>
      <c r="BE1522" s="4"/>
      <c r="BF1522" s="3"/>
      <c r="BG1522" s="3"/>
      <c r="BH1522" s="3"/>
      <c r="BI1522" s="4"/>
      <c r="BJ1522" s="3"/>
      <c r="BK1522" s="4"/>
      <c r="BL1522" s="3"/>
      <c r="BM1522" s="4"/>
      <c r="BN1522" s="4"/>
      <c r="BO1522" s="4"/>
      <c r="BP1522" s="4"/>
      <c r="BQ1522" s="4"/>
      <c r="BR1522" s="4"/>
      <c r="BS1522" s="4"/>
      <c r="BT1522" s="4"/>
      <c r="BU1522" s="4"/>
      <c r="BV1522" s="4"/>
      <c r="BW1522" s="4"/>
      <c r="BX1522" s="4"/>
      <c r="BY1522" s="4"/>
      <c r="BZ1522" s="4"/>
      <c r="CA1522" s="4"/>
      <c r="CB1522" s="4"/>
      <c r="CC1522" s="4"/>
      <c r="CD1522" s="4"/>
      <c r="CE1522" s="4"/>
      <c r="CF1522" s="4"/>
      <c r="CG1522" s="4"/>
      <c r="CH1522" s="4"/>
      <c r="CI1522" s="4"/>
      <c r="CJ1522" s="4"/>
      <c r="CK1522" s="4"/>
      <c r="CL1522" s="4"/>
      <c r="CM1522" s="4"/>
      <c r="CN1522" s="3"/>
      <c r="CO1522" s="3"/>
      <c r="CP1522" s="4"/>
      <c r="CQ1522" s="4"/>
      <c r="CR1522" s="4"/>
      <c r="CS1522" s="4"/>
      <c r="CT1522" s="4"/>
      <c r="CU1522" s="4"/>
      <c r="CV1522" s="4"/>
      <c r="CW1522" s="4"/>
      <c r="CX1522" s="4"/>
      <c r="CY1522" s="4"/>
      <c r="CZ1522" s="4"/>
      <c r="DA1522" s="4"/>
      <c r="DB1522" s="4"/>
      <c r="DC1522" s="4"/>
      <c r="DD1522" s="4"/>
      <c r="DE1522" s="4"/>
      <c r="DF1522" s="4"/>
      <c r="DG1522" s="4"/>
      <c r="DH1522" s="4"/>
      <c r="DI1522" s="4"/>
      <c r="DJ1522" s="4"/>
      <c r="DK1522" s="4"/>
      <c r="DL1522" s="4"/>
      <c r="DM1522" s="4"/>
      <c r="DN1522" s="4"/>
      <c r="DO1522" s="4"/>
      <c r="DP1522" s="4"/>
      <c r="DQ1522" s="4"/>
      <c r="DR1522" s="4"/>
      <c r="DS1522" s="4"/>
      <c r="DT1522" s="4"/>
      <c r="DU1522" s="4"/>
      <c r="DV1522" s="4"/>
      <c r="DW1522" s="4"/>
      <c r="DX1522" s="4"/>
      <c r="DY1522" s="4"/>
      <c r="DZ1522" s="4"/>
      <c r="EA1522" s="4"/>
    </row>
    <row r="1523" spans="1:146" hidden="1">
      <c r="A1523" s="11" t="s">
        <v>9940</v>
      </c>
      <c r="B1523" s="3" t="s">
        <v>8373</v>
      </c>
      <c r="C1523" s="3">
        <v>2013</v>
      </c>
      <c r="D1523" s="3" t="s">
        <v>9070</v>
      </c>
      <c r="E1523" s="3" t="s">
        <v>9071</v>
      </c>
      <c r="F1523" s="3">
        <v>1</v>
      </c>
      <c r="G1523" s="3"/>
      <c r="H1523" s="3" t="s">
        <v>9074</v>
      </c>
      <c r="I1523" s="3"/>
      <c r="J1523" s="3"/>
      <c r="K1523" s="3" t="s">
        <v>132</v>
      </c>
      <c r="L1523" s="4"/>
      <c r="M1523" s="3" t="s">
        <v>8382</v>
      </c>
      <c r="T1523" s="3" t="s">
        <v>9072</v>
      </c>
      <c r="V1523" s="3"/>
      <c r="W1523" s="4"/>
      <c r="X1523" s="5" t="s">
        <v>9073</v>
      </c>
      <c r="Y1523" s="5"/>
      <c r="Z1523" s="3">
        <v>1</v>
      </c>
      <c r="AA1523" s="4"/>
      <c r="AB1523" s="4"/>
      <c r="AE1523" s="3"/>
      <c r="AF1523" s="3"/>
      <c r="AG1523" s="4"/>
      <c r="AH1523" s="4"/>
      <c r="AI1523" s="4"/>
      <c r="AJ1523" s="4"/>
      <c r="AK1523" s="3"/>
      <c r="AL1523" s="3"/>
      <c r="AM1523" s="3"/>
      <c r="AN1523" s="3"/>
      <c r="AO1523" s="4"/>
      <c r="AP1523" s="3"/>
      <c r="AQ1523" s="4"/>
      <c r="AR1523" s="3"/>
      <c r="AS1523" s="3"/>
      <c r="AT1523" s="4"/>
      <c r="AU1523" s="3"/>
      <c r="AV1523" s="4"/>
      <c r="AW1523" s="4"/>
      <c r="AX1523" s="4"/>
      <c r="AY1523" s="4"/>
      <c r="AZ1523" s="4"/>
      <c r="BA1523" s="4"/>
      <c r="BB1523" s="4"/>
      <c r="BC1523" s="4"/>
      <c r="BD1523" s="4"/>
      <c r="BE1523" s="4"/>
      <c r="BF1523" s="3"/>
      <c r="BG1523" s="3"/>
      <c r="BH1523" s="3"/>
      <c r="BI1523" s="4"/>
      <c r="BJ1523" s="3"/>
      <c r="BK1523" s="4"/>
      <c r="BL1523" s="4"/>
      <c r="BM1523" s="3"/>
      <c r="BN1523" s="4"/>
      <c r="BO1523" s="4"/>
      <c r="BP1523" s="4"/>
      <c r="BQ1523" s="4"/>
      <c r="BR1523" s="4"/>
      <c r="BS1523" s="4"/>
      <c r="BT1523" s="4"/>
      <c r="BU1523" s="4"/>
      <c r="BV1523" s="4"/>
      <c r="BW1523" s="4"/>
      <c r="BX1523" s="4"/>
      <c r="BY1523" s="4"/>
      <c r="BZ1523" s="4"/>
      <c r="CA1523" s="4"/>
      <c r="CB1523" s="4"/>
      <c r="CC1523" s="4"/>
      <c r="CD1523" s="4"/>
      <c r="CE1523" s="4"/>
      <c r="CF1523" s="4"/>
      <c r="CG1523" s="4"/>
      <c r="CH1523" s="4"/>
      <c r="CI1523" s="4"/>
      <c r="CJ1523" s="4"/>
      <c r="CK1523" s="4"/>
      <c r="CL1523" s="4"/>
      <c r="CM1523" s="4"/>
      <c r="CN1523" s="4"/>
      <c r="CO1523" s="4"/>
      <c r="CP1523" s="4"/>
      <c r="CQ1523" s="4"/>
      <c r="CR1523" s="4"/>
      <c r="CS1523" s="4"/>
      <c r="CT1523" s="4"/>
      <c r="CU1523" s="4"/>
      <c r="CV1523" s="4"/>
      <c r="CW1523" s="4"/>
      <c r="CX1523" s="4"/>
      <c r="CY1523" s="4"/>
      <c r="CZ1523" s="4"/>
      <c r="DA1523" s="4"/>
      <c r="DB1523" s="4"/>
      <c r="DC1523" s="3"/>
      <c r="DD1523" s="3"/>
      <c r="DE1523" s="8"/>
      <c r="DF1523" s="4"/>
      <c r="DG1523" s="4"/>
      <c r="DH1523" s="4"/>
      <c r="DI1523" s="4"/>
      <c r="DJ1523" s="8"/>
      <c r="DK1523" s="8"/>
      <c r="DL1523" s="8"/>
      <c r="DM1523" s="8"/>
      <c r="DN1523" s="4"/>
      <c r="DO1523" s="4"/>
      <c r="DP1523" s="4"/>
      <c r="DQ1523" s="4"/>
      <c r="DR1523" s="4"/>
      <c r="DS1523" s="4"/>
      <c r="DT1523" s="4"/>
      <c r="DU1523" s="4"/>
      <c r="DV1523" s="4"/>
      <c r="DW1523" s="4"/>
      <c r="DX1523" s="4"/>
      <c r="DY1523" s="4"/>
      <c r="DZ1523" s="4"/>
      <c r="EA1523" s="4"/>
      <c r="EB1523" s="4"/>
      <c r="EC1523" s="4"/>
      <c r="ED1523" s="4"/>
      <c r="EE1523" s="4"/>
      <c r="EF1523" s="4"/>
      <c r="EG1523" s="4"/>
      <c r="EH1523" s="8"/>
      <c r="EI1523" s="8"/>
      <c r="EJ1523" s="8"/>
      <c r="EK1523" s="8"/>
      <c r="EL1523" s="8"/>
      <c r="EM1523" s="8"/>
      <c r="EN1523" s="4"/>
      <c r="EO1523" s="4"/>
      <c r="EP1523" s="4"/>
    </row>
    <row r="1524" spans="1:146" hidden="1">
      <c r="A1524" s="11" t="s">
        <v>9940</v>
      </c>
      <c r="B1524" s="3" t="s">
        <v>8373</v>
      </c>
      <c r="C1524" s="3">
        <v>2009</v>
      </c>
      <c r="D1524" s="3" t="s">
        <v>6148</v>
      </c>
      <c r="E1524" s="3" t="s">
        <v>9753</v>
      </c>
      <c r="F1524" s="3">
        <v>0</v>
      </c>
      <c r="G1524" s="3" t="s">
        <v>9178</v>
      </c>
      <c r="H1524" s="3" t="s">
        <v>6152</v>
      </c>
      <c r="I1524" s="3"/>
      <c r="J1524" s="3"/>
      <c r="K1524" s="3" t="s">
        <v>2045</v>
      </c>
      <c r="L1524" s="4"/>
      <c r="M1524" s="3" t="s">
        <v>9754</v>
      </c>
      <c r="T1524" s="3" t="s">
        <v>6150</v>
      </c>
      <c r="V1524" s="4"/>
      <c r="W1524" s="4"/>
      <c r="X1524" s="5" t="s">
        <v>6153</v>
      </c>
      <c r="Y1524" s="5"/>
      <c r="Z1524" s="4"/>
      <c r="AA1524" s="4"/>
      <c r="AB1524" s="4"/>
      <c r="AE1524" s="4"/>
      <c r="AF1524" s="4"/>
      <c r="AG1524" s="3"/>
      <c r="AH1524" s="3"/>
      <c r="AI1524" s="3"/>
      <c r="AJ1524" s="3"/>
      <c r="AK1524" s="4"/>
      <c r="AL1524" s="3"/>
      <c r="AM1524" s="4"/>
      <c r="AN1524" s="3"/>
      <c r="AO1524" s="3"/>
      <c r="AP1524" s="4"/>
      <c r="AQ1524" s="3"/>
      <c r="AR1524" s="4"/>
      <c r="AS1524" s="4"/>
      <c r="AT1524" s="4"/>
      <c r="AU1524" s="4"/>
      <c r="AV1524" s="4"/>
      <c r="AW1524" s="4"/>
      <c r="AX1524" s="4"/>
      <c r="AY1524" s="4"/>
      <c r="AZ1524" s="4"/>
      <c r="BA1524" s="4"/>
      <c r="BB1524" s="3"/>
      <c r="BC1524" s="3"/>
      <c r="BD1524" s="3"/>
      <c r="BE1524" s="4"/>
      <c r="BF1524" s="3"/>
      <c r="BG1524" s="4"/>
      <c r="BH1524" s="4"/>
      <c r="BI1524" s="3"/>
      <c r="BJ1524" s="4"/>
      <c r="BK1524" s="4"/>
      <c r="BL1524" s="4"/>
      <c r="BM1524" s="4"/>
      <c r="BN1524" s="4"/>
      <c r="BO1524" s="4"/>
      <c r="BP1524" s="4"/>
      <c r="BQ1524" s="4"/>
      <c r="BR1524" s="4"/>
      <c r="BS1524" s="4"/>
      <c r="BT1524" s="4"/>
      <c r="BU1524" s="4"/>
      <c r="BV1524" s="4"/>
      <c r="BW1524" s="4"/>
      <c r="BX1524" s="4"/>
      <c r="BY1524" s="4"/>
      <c r="BZ1524" s="4"/>
      <c r="CA1524" s="4"/>
      <c r="CB1524" s="4"/>
      <c r="CC1524" s="4"/>
      <c r="CD1524" s="4"/>
      <c r="CE1524" s="4"/>
      <c r="CF1524" s="4"/>
      <c r="CG1524" s="4"/>
      <c r="CH1524" s="4"/>
      <c r="CI1524" s="4"/>
      <c r="CJ1524" s="4"/>
      <c r="CK1524" s="4"/>
      <c r="CL1524" s="3"/>
      <c r="CM1524" s="3"/>
      <c r="CN1524" s="4"/>
      <c r="CO1524" s="4"/>
      <c r="CP1524" s="4"/>
      <c r="CQ1524" s="4"/>
      <c r="CR1524" s="4"/>
      <c r="CS1524" s="4"/>
      <c r="CT1524" s="4"/>
      <c r="CU1524" s="4"/>
      <c r="CV1524" s="4"/>
      <c r="CW1524" s="4"/>
      <c r="CX1524" s="4"/>
      <c r="CY1524" s="4"/>
      <c r="CZ1524" s="4"/>
      <c r="DA1524" s="4"/>
      <c r="DB1524" s="4"/>
      <c r="DC1524" s="4"/>
      <c r="DD1524" s="4"/>
      <c r="DE1524" s="4"/>
      <c r="DF1524" s="4"/>
      <c r="DG1524" s="4"/>
      <c r="DH1524" s="4"/>
      <c r="DI1524" s="4"/>
      <c r="DJ1524" s="4"/>
      <c r="DK1524" s="4"/>
      <c r="DL1524" s="4"/>
      <c r="DM1524" s="4"/>
      <c r="DN1524" s="4"/>
      <c r="DO1524" s="4"/>
      <c r="DP1524" s="4"/>
      <c r="DQ1524" s="4"/>
      <c r="DR1524" s="4"/>
      <c r="DS1524" s="4"/>
      <c r="DT1524" s="4"/>
      <c r="DU1524" s="4"/>
      <c r="DV1524" s="4"/>
      <c r="DW1524" s="4"/>
      <c r="DX1524" s="4"/>
      <c r="DY1524" s="4"/>
    </row>
    <row r="1525" spans="1:146" hidden="1">
      <c r="A1525" s="11" t="s">
        <v>9940</v>
      </c>
      <c r="B1525" s="3" t="s">
        <v>8373</v>
      </c>
      <c r="C1525" s="3">
        <v>2013</v>
      </c>
      <c r="D1525" s="3" t="s">
        <v>1167</v>
      </c>
      <c r="E1525" s="3" t="s">
        <v>9755</v>
      </c>
      <c r="F1525" s="3">
        <v>1</v>
      </c>
      <c r="G1525" s="3"/>
      <c r="H1525" s="3" t="s">
        <v>9756</v>
      </c>
      <c r="I1525" s="3"/>
      <c r="J1525" s="3"/>
      <c r="K1525" s="3" t="s">
        <v>1168</v>
      </c>
      <c r="L1525" s="4"/>
      <c r="M1525" s="3" t="s">
        <v>9380</v>
      </c>
      <c r="T1525" s="3" t="s">
        <v>1170</v>
      </c>
      <c r="V1525" s="3"/>
      <c r="W1525" s="3"/>
      <c r="X1525" s="5" t="s">
        <v>1173</v>
      </c>
      <c r="Y1525" s="5"/>
      <c r="Z1525" s="3">
        <v>0</v>
      </c>
      <c r="AA1525" s="3" t="s">
        <v>9178</v>
      </c>
      <c r="AB1525" s="3"/>
      <c r="AE1525" s="3"/>
      <c r="AF1525" s="4"/>
      <c r="AG1525" s="4"/>
      <c r="AH1525" s="4"/>
      <c r="AI1525" s="4"/>
      <c r="AJ1525" s="4"/>
      <c r="AK1525" s="3"/>
      <c r="AL1525" s="3"/>
      <c r="AM1525" s="3"/>
      <c r="AN1525" s="3"/>
      <c r="AO1525" s="4"/>
      <c r="AP1525" s="3"/>
      <c r="AQ1525" s="4"/>
      <c r="AR1525" s="3"/>
      <c r="AS1525" s="3"/>
      <c r="AT1525" s="4"/>
      <c r="AU1525" s="3"/>
      <c r="AV1525" s="4"/>
      <c r="AW1525" s="4"/>
      <c r="AX1525" s="4"/>
      <c r="AY1525" s="4"/>
      <c r="AZ1525" s="4"/>
      <c r="BA1525" s="4"/>
      <c r="BB1525" s="4"/>
      <c r="BC1525" s="4"/>
      <c r="BD1525" s="4"/>
      <c r="BE1525" s="4"/>
      <c r="BF1525" s="3"/>
      <c r="BG1525" s="3"/>
      <c r="BH1525" s="3"/>
      <c r="BI1525" s="4"/>
      <c r="BJ1525" s="3"/>
      <c r="BK1525" s="4"/>
      <c r="BL1525" s="3"/>
      <c r="BM1525" s="4"/>
      <c r="BN1525" s="4"/>
      <c r="BO1525" s="4"/>
      <c r="BP1525" s="4"/>
      <c r="BQ1525" s="4"/>
      <c r="BR1525" s="4"/>
      <c r="BS1525" s="4"/>
      <c r="BT1525" s="4"/>
      <c r="BU1525" s="4"/>
      <c r="BV1525" s="4"/>
      <c r="BW1525" s="4"/>
      <c r="BX1525" s="4"/>
      <c r="BY1525" s="4"/>
      <c r="BZ1525" s="4"/>
      <c r="CA1525" s="4"/>
      <c r="CB1525" s="4"/>
      <c r="CC1525" s="4"/>
      <c r="CD1525" s="4"/>
      <c r="CE1525" s="4"/>
      <c r="CF1525" s="4"/>
      <c r="CG1525" s="4"/>
      <c r="CH1525" s="4"/>
      <c r="CI1525" s="4"/>
      <c r="CJ1525" s="4"/>
      <c r="CK1525" s="4"/>
      <c r="CL1525" s="4"/>
      <c r="CM1525" s="4"/>
      <c r="CN1525" s="4"/>
      <c r="CO1525" s="4"/>
      <c r="CP1525" s="4"/>
      <c r="CQ1525" s="4"/>
      <c r="CR1525" s="4"/>
      <c r="CS1525" s="4"/>
      <c r="CT1525" s="4"/>
      <c r="CU1525" s="4"/>
      <c r="CV1525" s="4"/>
      <c r="CW1525" s="4"/>
      <c r="CX1525" s="4"/>
      <c r="CY1525" s="4"/>
      <c r="CZ1525" s="4"/>
      <c r="DA1525" s="3"/>
      <c r="DB1525" s="3"/>
      <c r="DC1525" s="4"/>
      <c r="DD1525" s="4"/>
      <c r="DE1525" s="4"/>
      <c r="DF1525" s="4"/>
      <c r="DG1525" s="4"/>
      <c r="DH1525" s="4"/>
      <c r="DI1525" s="4"/>
      <c r="DJ1525" s="4"/>
      <c r="DK1525" s="4"/>
      <c r="DL1525" s="4"/>
      <c r="DM1525" s="4"/>
      <c r="DN1525" s="4"/>
      <c r="DO1525" s="4"/>
      <c r="DP1525" s="4"/>
      <c r="DQ1525" s="4"/>
      <c r="DR1525" s="4"/>
      <c r="DS1525" s="4"/>
      <c r="DT1525" s="4"/>
      <c r="DU1525" s="4"/>
      <c r="DV1525" s="4"/>
      <c r="DW1525" s="4"/>
      <c r="DX1525" s="4"/>
      <c r="DY1525" s="4"/>
      <c r="DZ1525" s="4"/>
      <c r="EA1525" s="4"/>
      <c r="EB1525" s="4"/>
      <c r="EC1525" s="4"/>
      <c r="ED1525" s="4"/>
      <c r="EE1525" s="4"/>
      <c r="EF1525" s="4"/>
      <c r="EG1525" s="4"/>
      <c r="EH1525" s="4"/>
      <c r="EI1525" s="4"/>
      <c r="EJ1525" s="4"/>
      <c r="EK1525" s="4"/>
      <c r="EL1525" s="4"/>
      <c r="EM1525" s="4"/>
      <c r="EN1525" s="4"/>
    </row>
    <row r="1526" spans="1:146" hidden="1">
      <c r="A1526" s="11" t="s">
        <v>9940</v>
      </c>
      <c r="B1526" s="3" t="s">
        <v>8373</v>
      </c>
      <c r="C1526" s="3">
        <v>2015</v>
      </c>
      <c r="D1526" s="3" t="s">
        <v>1345</v>
      </c>
      <c r="E1526" s="3" t="s">
        <v>9757</v>
      </c>
      <c r="F1526" s="3">
        <v>0</v>
      </c>
      <c r="G1526" s="3" t="s">
        <v>9178</v>
      </c>
      <c r="H1526" s="3" t="s">
        <v>9758</v>
      </c>
      <c r="I1526" s="3"/>
      <c r="J1526" s="3"/>
      <c r="K1526" s="3" t="s">
        <v>1346</v>
      </c>
      <c r="L1526" s="4"/>
      <c r="M1526" s="12">
        <v>19268</v>
      </c>
      <c r="T1526" s="3" t="s">
        <v>1348</v>
      </c>
      <c r="V1526" s="4"/>
      <c r="W1526" s="4"/>
      <c r="X1526" s="5" t="s">
        <v>1352</v>
      </c>
      <c r="Y1526" s="5"/>
      <c r="Z1526" s="4"/>
      <c r="AA1526" s="4"/>
      <c r="AB1526" s="4"/>
      <c r="AE1526" s="4"/>
      <c r="AF1526" s="4"/>
      <c r="AG1526" s="3"/>
      <c r="AH1526" s="3"/>
      <c r="AI1526" s="3"/>
      <c r="AJ1526" s="3"/>
      <c r="AK1526" s="4"/>
      <c r="AL1526" s="3"/>
      <c r="AM1526" s="4"/>
      <c r="AN1526" s="4"/>
      <c r="AO1526" s="3"/>
      <c r="AP1526" s="4"/>
      <c r="AQ1526" s="3"/>
      <c r="AR1526" s="4"/>
      <c r="AS1526" s="4"/>
      <c r="AT1526" s="4"/>
      <c r="AU1526" s="4"/>
      <c r="AV1526" s="4"/>
      <c r="AW1526" s="4"/>
      <c r="AX1526" s="4"/>
      <c r="AY1526" s="4"/>
      <c r="AZ1526" s="4"/>
      <c r="BA1526" s="4"/>
      <c r="BB1526" s="3"/>
      <c r="BC1526" s="3"/>
      <c r="BD1526" s="3"/>
      <c r="BE1526" s="4"/>
      <c r="BF1526" s="3"/>
      <c r="BG1526" s="4"/>
      <c r="BH1526" s="4"/>
      <c r="BI1526" s="3"/>
      <c r="BJ1526" s="4"/>
      <c r="BK1526" s="4"/>
      <c r="BL1526" s="4"/>
      <c r="BM1526" s="4"/>
      <c r="BN1526" s="4"/>
      <c r="BO1526" s="4"/>
      <c r="BP1526" s="4"/>
      <c r="BQ1526" s="4"/>
      <c r="BR1526" s="4"/>
      <c r="BS1526" s="4"/>
      <c r="BT1526" s="4"/>
      <c r="BU1526" s="4"/>
      <c r="BV1526" s="4"/>
      <c r="BW1526" s="4"/>
      <c r="BX1526" s="4"/>
      <c r="BY1526" s="4"/>
      <c r="BZ1526" s="4"/>
      <c r="CA1526" s="4"/>
      <c r="CB1526" s="4"/>
      <c r="CC1526" s="4"/>
      <c r="CD1526" s="4"/>
      <c r="CE1526" s="4"/>
      <c r="CF1526" s="4"/>
      <c r="CG1526" s="4"/>
      <c r="CH1526" s="3"/>
      <c r="CI1526" s="3"/>
      <c r="CJ1526" s="4"/>
      <c r="CK1526" s="4"/>
      <c r="CL1526" s="4"/>
      <c r="CM1526" s="4"/>
      <c r="CN1526" s="4"/>
      <c r="CO1526" s="4"/>
      <c r="CP1526" s="4"/>
      <c r="CQ1526" s="4"/>
      <c r="CR1526" s="4"/>
      <c r="CS1526" s="4"/>
      <c r="CT1526" s="4"/>
      <c r="CU1526" s="4"/>
      <c r="CV1526" s="4"/>
      <c r="CW1526" s="4"/>
      <c r="CX1526" s="4"/>
      <c r="CY1526" s="4"/>
      <c r="CZ1526" s="4"/>
      <c r="DA1526" s="4"/>
      <c r="DB1526" s="4"/>
      <c r="DC1526" s="4"/>
      <c r="DD1526" s="4"/>
      <c r="DE1526" s="4"/>
      <c r="DF1526" s="4"/>
      <c r="DG1526" s="4"/>
      <c r="DH1526" s="4"/>
      <c r="DI1526" s="4"/>
      <c r="DJ1526" s="4"/>
      <c r="DK1526" s="4"/>
      <c r="DL1526" s="4"/>
      <c r="DM1526" s="4"/>
      <c r="DN1526" s="4"/>
      <c r="DO1526" s="4"/>
      <c r="DP1526" s="4"/>
      <c r="DQ1526" s="4"/>
      <c r="DR1526" s="4"/>
      <c r="DS1526" s="4"/>
      <c r="DT1526" s="4"/>
      <c r="DU1526" s="4"/>
    </row>
    <row r="1527" spans="1:146" hidden="1">
      <c r="A1527" s="11" t="s">
        <v>9940</v>
      </c>
      <c r="B1527" s="3" t="s">
        <v>8373</v>
      </c>
      <c r="C1527" s="3">
        <v>2012</v>
      </c>
      <c r="D1527" s="3" t="s">
        <v>9075</v>
      </c>
      <c r="E1527" s="3" t="s">
        <v>9076</v>
      </c>
      <c r="F1527" s="3">
        <v>1</v>
      </c>
      <c r="G1527" s="3"/>
      <c r="H1527" s="3" t="s">
        <v>9079</v>
      </c>
      <c r="I1527" s="3"/>
      <c r="J1527" s="3"/>
      <c r="K1527" s="3" t="s">
        <v>40</v>
      </c>
      <c r="L1527" s="4"/>
      <c r="M1527" s="3" t="s">
        <v>8500</v>
      </c>
      <c r="T1527" s="3" t="s">
        <v>9077</v>
      </c>
      <c r="V1527" s="3"/>
      <c r="W1527" s="3"/>
      <c r="X1527" s="5" t="s">
        <v>9078</v>
      </c>
      <c r="Y1527" s="5"/>
      <c r="Z1527" s="3">
        <v>1</v>
      </c>
      <c r="AA1527" s="4"/>
      <c r="AB1527" s="3"/>
      <c r="AE1527" s="3"/>
      <c r="AF1527" s="3"/>
      <c r="AG1527" s="4"/>
      <c r="AH1527" s="4"/>
      <c r="AI1527" s="4"/>
      <c r="AJ1527" s="4"/>
      <c r="AK1527" s="3"/>
      <c r="AL1527" s="3"/>
      <c r="AM1527" s="3"/>
      <c r="AN1527" s="3"/>
      <c r="AO1527" s="4"/>
      <c r="AP1527" s="3"/>
      <c r="AQ1527" s="3"/>
      <c r="AR1527" s="3"/>
      <c r="AS1527" s="4"/>
      <c r="AT1527" s="3"/>
      <c r="AU1527" s="4"/>
      <c r="AV1527" s="4"/>
      <c r="AW1527" s="4"/>
      <c r="AX1527" s="4"/>
      <c r="AY1527" s="4"/>
      <c r="AZ1527" s="4"/>
      <c r="BA1527" s="4"/>
      <c r="BB1527" s="4"/>
      <c r="BC1527" s="4"/>
      <c r="BD1527" s="4"/>
      <c r="BE1527" s="3"/>
      <c r="BF1527" s="3"/>
      <c r="BG1527" s="3"/>
      <c r="BH1527" s="4"/>
      <c r="BI1527" s="3"/>
      <c r="BJ1527" s="4"/>
      <c r="BK1527" s="4"/>
      <c r="BL1527" s="4"/>
      <c r="BM1527" s="3"/>
      <c r="BN1527" s="4"/>
      <c r="BO1527" s="4"/>
      <c r="BP1527" s="4"/>
      <c r="BQ1527" s="4"/>
      <c r="BR1527" s="4"/>
      <c r="BS1527" s="4"/>
      <c r="BT1527" s="4"/>
      <c r="BU1527" s="4"/>
      <c r="BV1527" s="4"/>
      <c r="BW1527" s="4"/>
      <c r="BX1527" s="4"/>
      <c r="BY1527" s="4"/>
      <c r="BZ1527" s="4"/>
      <c r="CA1527" s="4"/>
      <c r="CB1527" s="4"/>
      <c r="CC1527" s="4"/>
      <c r="CD1527" s="4"/>
      <c r="CE1527" s="4"/>
      <c r="CF1527" s="4"/>
      <c r="CG1527" s="4"/>
      <c r="CH1527" s="3"/>
      <c r="CI1527" s="3"/>
      <c r="CJ1527" s="8"/>
      <c r="CK1527" s="4"/>
      <c r="CL1527" s="4"/>
      <c r="CM1527" s="4"/>
      <c r="CN1527" s="4"/>
      <c r="CO1527" s="8"/>
      <c r="CP1527" s="8"/>
      <c r="CQ1527" s="8"/>
      <c r="CR1527" s="8"/>
      <c r="CS1527" s="4"/>
      <c r="CT1527" s="4"/>
      <c r="CU1527" s="4"/>
      <c r="CV1527" s="4"/>
      <c r="CW1527" s="4"/>
      <c r="CX1527" s="4"/>
      <c r="CY1527" s="4"/>
      <c r="CZ1527" s="4"/>
      <c r="DA1527" s="4"/>
      <c r="DB1527" s="4"/>
      <c r="DC1527" s="4"/>
      <c r="DD1527" s="4"/>
      <c r="DE1527" s="4"/>
      <c r="DF1527" s="4"/>
      <c r="DG1527" s="4"/>
      <c r="DH1527" s="4"/>
      <c r="DI1527" s="4"/>
      <c r="DJ1527" s="4"/>
      <c r="DK1527" s="4"/>
      <c r="DL1527" s="4"/>
      <c r="DM1527" s="8"/>
      <c r="DN1527" s="8"/>
      <c r="DO1527" s="8"/>
      <c r="DP1527" s="8"/>
      <c r="DQ1527" s="8"/>
      <c r="DR1527" s="8"/>
      <c r="DS1527" s="4"/>
      <c r="DT1527" s="4"/>
      <c r="DU1527" s="4"/>
    </row>
    <row r="1528" spans="1:146" hidden="1">
      <c r="A1528" s="11" t="s">
        <v>9940</v>
      </c>
      <c r="B1528" s="3" t="s">
        <v>8373</v>
      </c>
      <c r="C1528" s="3">
        <v>2010</v>
      </c>
      <c r="D1528" s="3" t="s">
        <v>3743</v>
      </c>
      <c r="E1528" s="3" t="s">
        <v>9759</v>
      </c>
      <c r="F1528" s="3">
        <v>0</v>
      </c>
      <c r="G1528" s="3" t="s">
        <v>9237</v>
      </c>
      <c r="H1528" s="3" t="s">
        <v>9760</v>
      </c>
      <c r="I1528" s="3"/>
      <c r="J1528" s="3"/>
      <c r="K1528" s="3" t="s">
        <v>140</v>
      </c>
      <c r="L1528" s="4"/>
      <c r="M1528" s="3" t="s">
        <v>8898</v>
      </c>
      <c r="T1528" s="3" t="s">
        <v>3745</v>
      </c>
      <c r="V1528" s="4"/>
      <c r="W1528" s="4"/>
      <c r="X1528" s="5" t="s">
        <v>3748</v>
      </c>
      <c r="Y1528" s="5"/>
      <c r="Z1528" s="4"/>
      <c r="AA1528" s="4"/>
      <c r="AB1528" s="4"/>
      <c r="AE1528" s="4"/>
      <c r="AF1528" s="4"/>
      <c r="AG1528" s="3"/>
      <c r="AH1528" s="3"/>
      <c r="AI1528" s="3"/>
      <c r="AJ1528" s="3"/>
      <c r="AK1528" s="4"/>
      <c r="AL1528" s="3"/>
      <c r="AM1528" s="3"/>
      <c r="AN1528" s="3"/>
      <c r="AO1528" s="4"/>
      <c r="AP1528" s="3"/>
      <c r="AQ1528" s="4"/>
      <c r="AR1528" s="4"/>
      <c r="AS1528" s="4"/>
      <c r="AT1528" s="4"/>
      <c r="AU1528" s="4"/>
      <c r="AV1528" s="4"/>
      <c r="AW1528" s="4"/>
      <c r="AX1528" s="4"/>
      <c r="AY1528" s="4"/>
      <c r="AZ1528" s="4"/>
      <c r="BA1528" s="3"/>
      <c r="BB1528" s="3"/>
      <c r="BC1528" s="3"/>
      <c r="BD1528" s="4"/>
      <c r="BE1528" s="3"/>
      <c r="BF1528" s="4"/>
      <c r="BG1528" s="4"/>
      <c r="BH1528" s="3"/>
      <c r="BI1528" s="4"/>
      <c r="BJ1528" s="4"/>
      <c r="BK1528" s="4"/>
      <c r="BL1528" s="4"/>
      <c r="BM1528" s="4"/>
      <c r="BN1528" s="4"/>
      <c r="BO1528" s="4"/>
      <c r="BP1528" s="4"/>
      <c r="BQ1528" s="4"/>
      <c r="BR1528" s="4"/>
      <c r="BS1528" s="4"/>
      <c r="BT1528" s="4"/>
      <c r="BU1528" s="4"/>
      <c r="BV1528" s="4"/>
      <c r="BW1528" s="4"/>
      <c r="BX1528" s="4"/>
      <c r="BY1528" s="4"/>
      <c r="BZ1528" s="4"/>
      <c r="CA1528" s="4"/>
      <c r="CB1528" s="4"/>
      <c r="CC1528" s="4"/>
      <c r="CD1528" s="4"/>
      <c r="CE1528" s="4"/>
      <c r="CF1528" s="4"/>
      <c r="CG1528" s="4"/>
      <c r="CH1528" s="4"/>
      <c r="CI1528" s="4"/>
      <c r="CJ1528" s="3"/>
      <c r="CK1528" s="3"/>
      <c r="CL1528" s="4"/>
      <c r="CM1528" s="4"/>
      <c r="CN1528" s="4"/>
      <c r="CO1528" s="4"/>
      <c r="CP1528" s="4"/>
      <c r="CQ1528" s="4"/>
      <c r="CR1528" s="4"/>
      <c r="CS1528" s="4"/>
      <c r="CT1528" s="4"/>
      <c r="CU1528" s="4"/>
      <c r="CV1528" s="4"/>
      <c r="CW1528" s="4"/>
      <c r="CX1528" s="4"/>
      <c r="CY1528" s="4"/>
      <c r="CZ1528" s="4"/>
      <c r="DA1528" s="4"/>
      <c r="DB1528" s="4"/>
      <c r="DC1528" s="4"/>
      <c r="DD1528" s="4"/>
      <c r="DE1528" s="4"/>
      <c r="DF1528" s="4"/>
      <c r="DG1528" s="4"/>
      <c r="DH1528" s="4"/>
      <c r="DI1528" s="4"/>
      <c r="DJ1528" s="4"/>
      <c r="DK1528" s="4"/>
      <c r="DL1528" s="4"/>
      <c r="DM1528" s="4"/>
      <c r="DN1528" s="4"/>
      <c r="DO1528" s="4"/>
      <c r="DP1528" s="4"/>
      <c r="DQ1528" s="4"/>
      <c r="DR1528" s="4"/>
      <c r="DS1528" s="4"/>
      <c r="DT1528" s="4"/>
      <c r="DU1528" s="4"/>
      <c r="DV1528" s="4"/>
      <c r="DW1528" s="4"/>
    </row>
    <row r="1529" spans="1:146" hidden="1">
      <c r="A1529" s="11" t="s">
        <v>9940</v>
      </c>
      <c r="B1529" s="3" t="s">
        <v>8379</v>
      </c>
      <c r="C1529" s="3">
        <v>2014</v>
      </c>
      <c r="D1529" s="3" t="s">
        <v>2718</v>
      </c>
      <c r="E1529" s="3" t="s">
        <v>9761</v>
      </c>
      <c r="F1529" s="3">
        <v>0</v>
      </c>
      <c r="G1529" s="3" t="s">
        <v>9178</v>
      </c>
      <c r="H1529" s="3" t="s">
        <v>9762</v>
      </c>
      <c r="I1529" s="3"/>
      <c r="J1529" s="3"/>
      <c r="K1529" s="4"/>
      <c r="L1529" s="4"/>
      <c r="M1529" s="4"/>
      <c r="T1529" s="4"/>
      <c r="V1529" s="4"/>
      <c r="W1529" s="4"/>
      <c r="X1529" s="5" t="s">
        <v>2722</v>
      </c>
      <c r="Y1529" s="5"/>
      <c r="Z1529" s="4"/>
      <c r="AA1529" s="4"/>
      <c r="AB1529" s="4"/>
      <c r="AE1529" s="4"/>
      <c r="AF1529" s="4"/>
      <c r="AG1529" s="3"/>
      <c r="AH1529" s="3"/>
      <c r="AI1529" s="3"/>
      <c r="AJ1529" s="3"/>
      <c r="AK1529" s="4"/>
      <c r="AL1529" s="4"/>
      <c r="AM1529" s="4"/>
      <c r="AN1529" s="4"/>
      <c r="AO1529" s="4"/>
      <c r="AP1529" s="4"/>
      <c r="AQ1529" s="4"/>
      <c r="AR1529" s="4"/>
      <c r="AS1529" s="4"/>
      <c r="AT1529" s="4"/>
      <c r="AU1529" s="4"/>
      <c r="AV1529" s="4"/>
      <c r="AW1529" s="3"/>
      <c r="AX1529" s="4"/>
      <c r="AY1529" s="3"/>
      <c r="AZ1529" s="3"/>
      <c r="BA1529" s="3"/>
      <c r="BB1529" s="4"/>
      <c r="BC1529" s="3"/>
      <c r="BD1529" s="3"/>
      <c r="BE1529" s="4"/>
      <c r="BF1529" s="4"/>
      <c r="BG1529" s="4"/>
      <c r="BH1529" s="4"/>
      <c r="BI1529" s="4"/>
      <c r="BJ1529" s="4"/>
      <c r="BK1529" s="4"/>
      <c r="BL1529" s="4"/>
      <c r="BM1529" s="4"/>
      <c r="BN1529" s="4"/>
      <c r="BO1529" s="4"/>
      <c r="BP1529" s="4"/>
      <c r="BQ1529" s="4"/>
      <c r="BR1529" s="4"/>
      <c r="BS1529" s="4"/>
      <c r="BT1529" s="4"/>
      <c r="BU1529" s="4"/>
      <c r="BV1529" s="4"/>
      <c r="BW1529" s="3"/>
      <c r="BX1529" s="3"/>
      <c r="BY1529" s="4"/>
      <c r="BZ1529" s="4"/>
      <c r="CA1529" s="4"/>
      <c r="CB1529" s="4"/>
      <c r="CC1529" s="4"/>
      <c r="CD1529" s="4"/>
      <c r="CE1529" s="4"/>
      <c r="CF1529" s="4"/>
      <c r="CG1529" s="4"/>
      <c r="CH1529" s="4"/>
      <c r="CI1529" s="4"/>
      <c r="CJ1529" s="4"/>
      <c r="CK1529" s="4"/>
      <c r="CL1529" s="4"/>
      <c r="CM1529" s="4"/>
      <c r="CN1529" s="4"/>
      <c r="CO1529" s="4"/>
      <c r="CP1529" s="4"/>
      <c r="CQ1529" s="4"/>
      <c r="CR1529" s="4"/>
      <c r="CS1529" s="4"/>
      <c r="CT1529" s="4"/>
      <c r="CU1529" s="4"/>
      <c r="CV1529" s="4"/>
      <c r="CW1529" s="4"/>
      <c r="CX1529" s="4"/>
      <c r="CY1529" s="4"/>
      <c r="CZ1529" s="4"/>
      <c r="DA1529" s="4"/>
      <c r="DB1529" s="4"/>
      <c r="DC1529" s="4"/>
      <c r="DD1529" s="4"/>
      <c r="DE1529" s="4"/>
      <c r="DF1529" s="4"/>
      <c r="DG1529" s="4"/>
      <c r="DH1529" s="4"/>
      <c r="DI1529" s="4"/>
      <c r="DJ1529" s="4"/>
    </row>
    <row r="1530" spans="1:146" hidden="1">
      <c r="A1530" s="11" t="s">
        <v>9940</v>
      </c>
      <c r="B1530" s="3" t="s">
        <v>8373</v>
      </c>
      <c r="C1530" s="3">
        <v>2013</v>
      </c>
      <c r="D1530" s="3" t="s">
        <v>1619</v>
      </c>
      <c r="E1530" s="3" t="s">
        <v>9763</v>
      </c>
      <c r="F1530" s="3">
        <v>1</v>
      </c>
      <c r="G1530" s="3"/>
      <c r="H1530" s="3" t="s">
        <v>9765</v>
      </c>
      <c r="I1530" s="3"/>
      <c r="J1530" s="3"/>
      <c r="K1530" s="3" t="s">
        <v>1620</v>
      </c>
      <c r="L1530" s="4"/>
      <c r="M1530" s="3" t="s">
        <v>9764</v>
      </c>
      <c r="T1530" s="3" t="s">
        <v>1622</v>
      </c>
      <c r="V1530" s="3"/>
      <c r="W1530" s="3"/>
      <c r="X1530" s="5" t="s">
        <v>1625</v>
      </c>
      <c r="Y1530" s="5"/>
      <c r="Z1530" s="3">
        <v>0</v>
      </c>
      <c r="AA1530" s="3" t="s">
        <v>9265</v>
      </c>
      <c r="AB1530" s="4"/>
      <c r="AE1530" s="3"/>
      <c r="AF1530" s="4"/>
      <c r="AG1530" s="4"/>
      <c r="AH1530" s="4"/>
      <c r="AI1530" s="4"/>
      <c r="AJ1530" s="4"/>
      <c r="AK1530" s="3"/>
      <c r="AL1530" s="3"/>
      <c r="AM1530" s="3"/>
      <c r="AN1530" s="3"/>
      <c r="AO1530" s="4"/>
      <c r="AP1530" s="3"/>
      <c r="AQ1530" s="3"/>
      <c r="AR1530" s="3"/>
      <c r="AS1530" s="4"/>
      <c r="AT1530" s="3"/>
      <c r="AU1530" s="4"/>
      <c r="AV1530" s="4"/>
      <c r="AW1530" s="4"/>
      <c r="AX1530" s="4"/>
      <c r="AY1530" s="4"/>
      <c r="AZ1530" s="4"/>
      <c r="BA1530" s="4"/>
      <c r="BB1530" s="4"/>
      <c r="BC1530" s="4"/>
      <c r="BD1530" s="4"/>
      <c r="BE1530" s="3"/>
      <c r="BF1530" s="3"/>
      <c r="BG1530" s="3"/>
      <c r="BH1530" s="4"/>
      <c r="BI1530" s="3"/>
      <c r="BJ1530" s="4"/>
      <c r="BK1530" s="4"/>
      <c r="BL1530" s="4"/>
      <c r="BM1530" s="3"/>
      <c r="BN1530" s="4"/>
      <c r="BO1530" s="4"/>
      <c r="BP1530" s="4"/>
      <c r="BQ1530" s="4"/>
      <c r="BR1530" s="4"/>
      <c r="BS1530" s="4"/>
      <c r="BT1530" s="4"/>
      <c r="BU1530" s="4"/>
      <c r="BV1530" s="4"/>
      <c r="BW1530" s="4"/>
      <c r="BX1530" s="4"/>
      <c r="BY1530" s="4"/>
      <c r="BZ1530" s="4"/>
      <c r="CA1530" s="4"/>
      <c r="CB1530" s="4"/>
      <c r="CC1530" s="4"/>
      <c r="CD1530" s="4"/>
      <c r="CE1530" s="4"/>
      <c r="CF1530" s="4"/>
      <c r="CG1530" s="4"/>
      <c r="CH1530" s="4"/>
      <c r="CI1530" s="4"/>
      <c r="CJ1530" s="4"/>
      <c r="CK1530" s="4"/>
      <c r="CL1530" s="4"/>
      <c r="CM1530" s="4"/>
      <c r="CN1530" s="4"/>
      <c r="CO1530" s="4"/>
      <c r="CP1530" s="4"/>
      <c r="CQ1530" s="4"/>
      <c r="CR1530" s="4"/>
      <c r="CS1530" s="4"/>
      <c r="CT1530" s="4"/>
      <c r="CU1530" s="4"/>
      <c r="CV1530" s="4"/>
      <c r="CW1530" s="4"/>
      <c r="CX1530" s="4"/>
      <c r="CY1530" s="4"/>
      <c r="CZ1530" s="4"/>
      <c r="DA1530" s="4"/>
      <c r="DB1530" s="3"/>
      <c r="DC1530" s="3"/>
      <c r="DD1530" s="4"/>
      <c r="DE1530" s="4"/>
      <c r="DF1530" s="4"/>
      <c r="DG1530" s="4"/>
      <c r="DH1530" s="4"/>
      <c r="DI1530" s="4"/>
      <c r="DJ1530" s="4"/>
      <c r="DK1530" s="4"/>
      <c r="DL1530" s="4"/>
      <c r="DM1530" s="4"/>
      <c r="DN1530" s="4"/>
      <c r="DO1530" s="4"/>
      <c r="DP1530" s="4"/>
      <c r="DQ1530" s="4"/>
      <c r="DR1530" s="4"/>
      <c r="DS1530" s="4"/>
      <c r="DT1530" s="4"/>
      <c r="DU1530" s="4"/>
      <c r="DV1530" s="4"/>
      <c r="DW1530" s="4"/>
      <c r="DX1530" s="4"/>
      <c r="DY1530" s="4"/>
      <c r="DZ1530" s="4"/>
      <c r="EA1530" s="4"/>
      <c r="EB1530" s="4"/>
      <c r="EC1530" s="4"/>
      <c r="ED1530" s="4"/>
      <c r="EE1530" s="4"/>
      <c r="EF1530" s="4"/>
      <c r="EG1530" s="4"/>
      <c r="EH1530" s="4"/>
      <c r="EI1530" s="4"/>
      <c r="EJ1530" s="4"/>
      <c r="EK1530" s="4"/>
      <c r="EL1530" s="4"/>
      <c r="EM1530" s="4"/>
      <c r="EN1530" s="4"/>
      <c r="EO1530" s="4"/>
    </row>
    <row r="1531" spans="1:146" hidden="1">
      <c r="A1531" s="11" t="s">
        <v>9940</v>
      </c>
      <c r="B1531" s="3" t="s">
        <v>8379</v>
      </c>
      <c r="C1531" s="3">
        <v>2014</v>
      </c>
      <c r="D1531" s="3" t="s">
        <v>5382</v>
      </c>
      <c r="E1531" s="3" t="s">
        <v>9080</v>
      </c>
      <c r="F1531" s="3">
        <v>1</v>
      </c>
      <c r="G1531" s="4"/>
      <c r="H1531" s="3" t="s">
        <v>9081</v>
      </c>
      <c r="I1531" s="3"/>
      <c r="J1531" s="3"/>
      <c r="K1531" s="4"/>
      <c r="L1531" s="4"/>
      <c r="M1531" s="4"/>
      <c r="T1531" s="4"/>
      <c r="V1531" s="3"/>
      <c r="W1531" s="4"/>
      <c r="X1531" s="5" t="s">
        <v>5386</v>
      </c>
      <c r="Y1531" s="5"/>
      <c r="Z1531" s="3">
        <v>1</v>
      </c>
      <c r="AA1531" s="4"/>
      <c r="AB1531" s="4"/>
      <c r="AE1531" s="3"/>
      <c r="AF1531" s="3"/>
      <c r="AG1531" s="3"/>
      <c r="AH1531" s="4"/>
      <c r="AI1531" s="4"/>
      <c r="AJ1531" s="4"/>
      <c r="AK1531" s="3"/>
      <c r="AL1531" s="3"/>
      <c r="AM1531" s="3"/>
      <c r="AN1531" s="3"/>
      <c r="AO1531" s="4"/>
      <c r="AP1531" s="4"/>
      <c r="AQ1531" s="4"/>
      <c r="AR1531" s="4"/>
      <c r="AS1531" s="4"/>
      <c r="AT1531" s="4"/>
      <c r="AU1531" s="4"/>
      <c r="AV1531" s="4"/>
      <c r="AW1531" s="4"/>
      <c r="AX1531" s="4"/>
      <c r="AY1531" s="4"/>
      <c r="AZ1531" s="4"/>
      <c r="BA1531" s="3"/>
      <c r="BB1531" s="4"/>
      <c r="BC1531" s="3"/>
      <c r="BD1531" s="3"/>
      <c r="BE1531" s="3"/>
      <c r="BF1531" s="4"/>
      <c r="BG1531" s="3"/>
      <c r="BH1531" s="3"/>
      <c r="BI1531" s="4"/>
      <c r="BJ1531" s="4"/>
      <c r="BK1531" s="4"/>
      <c r="BL1531" s="4"/>
      <c r="BM1531" s="4"/>
      <c r="BN1531" s="4"/>
      <c r="BO1531" s="4"/>
      <c r="BP1531" s="4"/>
      <c r="BQ1531" s="4"/>
      <c r="BR1531" s="4"/>
      <c r="BS1531" s="4"/>
      <c r="BT1531" s="4"/>
      <c r="BU1531" s="4"/>
      <c r="BV1531" s="4"/>
      <c r="BW1531" s="4"/>
      <c r="BX1531" s="4"/>
      <c r="BY1531" s="4"/>
      <c r="BZ1531" s="4"/>
      <c r="CA1531" s="4"/>
      <c r="CB1531" s="4"/>
      <c r="CC1531" s="4"/>
      <c r="CD1531" s="4"/>
      <c r="CE1531" s="4"/>
      <c r="CF1531" s="4"/>
      <c r="CG1531" s="4"/>
      <c r="CH1531" s="4"/>
      <c r="CI1531" s="4"/>
      <c r="CJ1531" s="4"/>
      <c r="CK1531" s="3"/>
      <c r="CL1531" s="3"/>
      <c r="CM1531" s="8"/>
      <c r="CN1531" s="4"/>
      <c r="CO1531" s="4"/>
      <c r="CP1531" s="4"/>
      <c r="CQ1531" s="4"/>
      <c r="CR1531" s="8"/>
      <c r="CS1531" s="8"/>
      <c r="CT1531" s="8"/>
      <c r="CU1531" s="8"/>
      <c r="CV1531" s="4"/>
      <c r="CW1531" s="4"/>
      <c r="CX1531" s="4"/>
      <c r="CY1531" s="4"/>
      <c r="CZ1531" s="4"/>
      <c r="DA1531" s="4"/>
      <c r="DB1531" s="4"/>
      <c r="DC1531" s="4"/>
      <c r="DD1531" s="4"/>
      <c r="DE1531" s="4"/>
      <c r="DF1531" s="4"/>
      <c r="DG1531" s="4"/>
      <c r="DH1531" s="4"/>
      <c r="DI1531" s="4"/>
      <c r="DJ1531" s="4"/>
      <c r="DK1531" s="4"/>
      <c r="DL1531" s="4"/>
      <c r="DM1531" s="4"/>
      <c r="DN1531" s="4"/>
      <c r="DO1531" s="4"/>
      <c r="DP1531" s="8"/>
      <c r="DQ1531" s="8"/>
      <c r="DR1531" s="8"/>
      <c r="DS1531" s="8"/>
      <c r="DT1531" s="8"/>
      <c r="DU1531" s="8"/>
      <c r="DV1531" s="4"/>
      <c r="DW1531" s="4"/>
      <c r="DX1531" s="4"/>
    </row>
    <row r="1532" spans="1:146" hidden="1">
      <c r="A1532" s="11" t="s">
        <v>9940</v>
      </c>
      <c r="B1532" s="3" t="s">
        <v>8373</v>
      </c>
      <c r="C1532" s="3">
        <v>2010</v>
      </c>
      <c r="D1532" s="3" t="s">
        <v>9766</v>
      </c>
      <c r="E1532" s="3" t="s">
        <v>9767</v>
      </c>
      <c r="F1532" s="3">
        <v>1</v>
      </c>
      <c r="G1532" s="3"/>
      <c r="H1532" s="3" t="s">
        <v>9772</v>
      </c>
      <c r="I1532" s="3"/>
      <c r="J1532" s="3"/>
      <c r="K1532" s="3" t="s">
        <v>9768</v>
      </c>
      <c r="L1532" s="4"/>
      <c r="M1532" s="3" t="s">
        <v>9769</v>
      </c>
      <c r="T1532" s="3" t="s">
        <v>9770</v>
      </c>
      <c r="V1532" s="3"/>
      <c r="W1532" s="3"/>
      <c r="X1532" s="5" t="s">
        <v>9771</v>
      </c>
      <c r="Y1532" s="5"/>
      <c r="Z1532" s="3">
        <v>0</v>
      </c>
      <c r="AA1532" s="3" t="s">
        <v>9265</v>
      </c>
      <c r="AB1532" s="4"/>
      <c r="AE1532" s="3"/>
      <c r="AF1532" s="4"/>
      <c r="AG1532" s="4"/>
      <c r="AH1532" s="4"/>
      <c r="AI1532" s="4"/>
      <c r="AJ1532" s="4"/>
      <c r="AK1532" s="3"/>
      <c r="AL1532" s="3"/>
      <c r="AM1532" s="3"/>
      <c r="AN1532" s="3"/>
      <c r="AO1532" s="4"/>
      <c r="AP1532" s="3"/>
      <c r="AQ1532" s="4"/>
      <c r="AR1532" s="3"/>
      <c r="AS1532" s="3"/>
      <c r="AT1532" s="4"/>
      <c r="AU1532" s="3"/>
      <c r="AV1532" s="4"/>
      <c r="AW1532" s="4"/>
      <c r="AX1532" s="4"/>
      <c r="AY1532" s="4"/>
      <c r="AZ1532" s="4"/>
      <c r="BA1532" s="4"/>
      <c r="BB1532" s="4"/>
      <c r="BC1532" s="4"/>
      <c r="BD1532" s="4"/>
      <c r="BE1532" s="4"/>
      <c r="BF1532" s="3"/>
      <c r="BG1532" s="3"/>
      <c r="BH1532" s="3"/>
      <c r="BI1532" s="4"/>
      <c r="BJ1532" s="3"/>
      <c r="BK1532" s="4"/>
      <c r="BL1532" s="4"/>
      <c r="BM1532" s="3"/>
      <c r="BN1532" s="4"/>
      <c r="BO1532" s="4"/>
      <c r="BP1532" s="4"/>
      <c r="BQ1532" s="4"/>
      <c r="BR1532" s="4"/>
      <c r="BS1532" s="4"/>
      <c r="BT1532" s="4"/>
      <c r="BU1532" s="4"/>
      <c r="BV1532" s="4"/>
      <c r="BW1532" s="4"/>
      <c r="BX1532" s="4"/>
      <c r="BY1532" s="4"/>
      <c r="BZ1532" s="4"/>
      <c r="CA1532" s="4"/>
      <c r="CB1532" s="4"/>
      <c r="CC1532" s="4"/>
      <c r="CD1532" s="4"/>
      <c r="CE1532" s="4"/>
      <c r="CF1532" s="4"/>
      <c r="CG1532" s="4"/>
      <c r="CH1532" s="4"/>
      <c r="CI1532" s="4"/>
      <c r="CJ1532" s="4"/>
      <c r="CK1532" s="4"/>
      <c r="CL1532" s="4"/>
      <c r="CM1532" s="4"/>
      <c r="CN1532" s="4"/>
      <c r="CO1532" s="4"/>
      <c r="CP1532" s="4"/>
      <c r="CQ1532" s="4"/>
      <c r="CR1532" s="4"/>
      <c r="CS1532" s="4"/>
      <c r="CT1532" s="4"/>
      <c r="CU1532" s="4"/>
      <c r="CV1532" s="4"/>
      <c r="CW1532" s="3"/>
      <c r="CX1532" s="3"/>
      <c r="CY1532" s="4"/>
      <c r="CZ1532" s="4"/>
      <c r="DA1532" s="4"/>
      <c r="DB1532" s="4"/>
      <c r="DC1532" s="4"/>
      <c r="DD1532" s="4"/>
      <c r="DE1532" s="4"/>
      <c r="DF1532" s="4"/>
      <c r="DG1532" s="4"/>
      <c r="DH1532" s="4"/>
      <c r="DI1532" s="4"/>
      <c r="DJ1532" s="4"/>
      <c r="DK1532" s="4"/>
      <c r="DL1532" s="4"/>
      <c r="DM1532" s="4"/>
      <c r="DN1532" s="4"/>
      <c r="DO1532" s="4"/>
      <c r="DP1532" s="4"/>
      <c r="DQ1532" s="4"/>
      <c r="DR1532" s="4"/>
      <c r="DS1532" s="4"/>
      <c r="DT1532" s="4"/>
      <c r="DU1532" s="4"/>
      <c r="DV1532" s="4"/>
      <c r="DW1532" s="4"/>
      <c r="DX1532" s="4"/>
      <c r="DY1532" s="4"/>
      <c r="DZ1532" s="4"/>
      <c r="EA1532" s="4"/>
      <c r="EB1532" s="4"/>
      <c r="EC1532" s="4"/>
      <c r="ED1532" s="4"/>
      <c r="EE1532" s="4"/>
      <c r="EF1532" s="4"/>
      <c r="EG1532" s="4"/>
      <c r="EH1532" s="4"/>
      <c r="EI1532" s="4"/>
      <c r="EJ1532" s="4"/>
    </row>
    <row r="1533" spans="1:146" hidden="1">
      <c r="A1533" s="11" t="s">
        <v>9940</v>
      </c>
      <c r="B1533" s="3" t="s">
        <v>8373</v>
      </c>
      <c r="C1533" s="3">
        <v>2014</v>
      </c>
      <c r="D1533" s="3" t="s">
        <v>6513</v>
      </c>
      <c r="E1533" s="3" t="s">
        <v>6512</v>
      </c>
      <c r="F1533" s="3">
        <v>0</v>
      </c>
      <c r="G1533" s="3" t="s">
        <v>9237</v>
      </c>
      <c r="H1533" s="3" t="s">
        <v>6517</v>
      </c>
      <c r="I1533" s="3"/>
      <c r="J1533" s="3"/>
      <c r="K1533" s="3" t="s">
        <v>5775</v>
      </c>
      <c r="L1533" s="4"/>
      <c r="M1533" s="3" t="s">
        <v>8520</v>
      </c>
      <c r="T1533" s="3" t="s">
        <v>6515</v>
      </c>
      <c r="V1533" s="4"/>
      <c r="W1533" s="4"/>
      <c r="X1533" s="5" t="s">
        <v>6518</v>
      </c>
      <c r="Y1533" s="5"/>
      <c r="Z1533" s="4"/>
      <c r="AA1533" s="4"/>
      <c r="AB1533" s="4"/>
      <c r="AE1533" s="4"/>
      <c r="AF1533" s="4"/>
      <c r="AG1533" s="3"/>
      <c r="AH1533" s="3"/>
      <c r="AI1533" s="3"/>
      <c r="AJ1533" s="3"/>
      <c r="AK1533" s="4"/>
      <c r="AL1533" s="3"/>
      <c r="AM1533" s="4"/>
      <c r="AN1533" s="3"/>
      <c r="AO1533" s="3"/>
      <c r="AP1533" s="4"/>
      <c r="AQ1533" s="3"/>
      <c r="AR1533" s="4"/>
      <c r="AS1533" s="4"/>
      <c r="AT1533" s="4"/>
      <c r="AU1533" s="4"/>
      <c r="AV1533" s="4"/>
      <c r="AW1533" s="4"/>
      <c r="AX1533" s="4"/>
      <c r="AY1533" s="4"/>
      <c r="AZ1533" s="4"/>
      <c r="BA1533" s="4"/>
      <c r="BB1533" s="3"/>
      <c r="BC1533" s="3"/>
      <c r="BD1533" s="3"/>
      <c r="BE1533" s="4"/>
      <c r="BF1533" s="3"/>
      <c r="BG1533" s="4"/>
      <c r="BH1533" s="4"/>
      <c r="BI1533" s="3"/>
      <c r="BJ1533" s="4"/>
      <c r="BK1533" s="4"/>
      <c r="BL1533" s="4"/>
      <c r="BM1533" s="4"/>
      <c r="BN1533" s="4"/>
      <c r="BO1533" s="4"/>
      <c r="BP1533" s="4"/>
      <c r="BQ1533" s="4"/>
      <c r="BR1533" s="4"/>
      <c r="BS1533" s="4"/>
      <c r="BT1533" s="4"/>
      <c r="BU1533" s="4"/>
      <c r="BV1533" s="4"/>
      <c r="BW1533" s="4"/>
      <c r="BX1533" s="4"/>
      <c r="BY1533" s="4"/>
      <c r="BZ1533" s="4"/>
      <c r="CA1533" s="4"/>
      <c r="CB1533" s="4"/>
      <c r="CC1533" s="4"/>
      <c r="CD1533" s="4"/>
      <c r="CE1533" s="4"/>
      <c r="CF1533" s="4"/>
      <c r="CG1533" s="4"/>
      <c r="CH1533" s="4"/>
      <c r="CI1533" s="4"/>
      <c r="CJ1533" s="4"/>
      <c r="CK1533" s="4"/>
      <c r="CL1533" s="4"/>
      <c r="CM1533" s="4"/>
      <c r="CN1533" s="4"/>
      <c r="CO1533" s="4"/>
      <c r="CP1533" s="4"/>
      <c r="CQ1533" s="4"/>
      <c r="CR1533" s="4"/>
      <c r="CS1533" s="4"/>
      <c r="CT1533" s="4"/>
      <c r="CU1533" s="4"/>
      <c r="CV1533" s="3"/>
      <c r="CW1533" s="3"/>
      <c r="CX1533" s="4"/>
      <c r="CY1533" s="4"/>
      <c r="CZ1533" s="4"/>
      <c r="DA1533" s="4"/>
      <c r="DB1533" s="4"/>
      <c r="DC1533" s="4"/>
      <c r="DD1533" s="4"/>
      <c r="DE1533" s="4"/>
      <c r="DF1533" s="4"/>
      <c r="DG1533" s="4"/>
      <c r="DH1533" s="4"/>
      <c r="DI1533" s="4"/>
      <c r="DJ1533" s="4"/>
      <c r="DK1533" s="4"/>
      <c r="DL1533" s="4"/>
      <c r="DM1533" s="4"/>
      <c r="DN1533" s="4"/>
      <c r="DO1533" s="4"/>
      <c r="DP1533" s="4"/>
      <c r="DQ1533" s="4"/>
      <c r="DR1533" s="4"/>
      <c r="DS1533" s="4"/>
      <c r="DT1533" s="4"/>
      <c r="DU1533" s="4"/>
      <c r="DV1533" s="4"/>
      <c r="DW1533" s="4"/>
      <c r="DX1533" s="4"/>
      <c r="DY1533" s="4"/>
      <c r="DZ1533" s="4"/>
      <c r="EA1533" s="4"/>
      <c r="EB1533" s="4"/>
      <c r="EC1533" s="4"/>
      <c r="ED1533" s="4"/>
      <c r="EE1533" s="4"/>
      <c r="EF1533" s="4"/>
      <c r="EG1533" s="4"/>
      <c r="EH1533" s="4"/>
      <c r="EI1533" s="4"/>
    </row>
    <row r="1534" spans="1:146" hidden="1">
      <c r="A1534" s="11" t="s">
        <v>9940</v>
      </c>
      <c r="B1534" s="3" t="s">
        <v>8373</v>
      </c>
      <c r="C1534" s="3">
        <v>2006</v>
      </c>
      <c r="D1534" s="3" t="s">
        <v>9082</v>
      </c>
      <c r="E1534" s="3" t="s">
        <v>9083</v>
      </c>
      <c r="F1534" s="3">
        <v>1</v>
      </c>
      <c r="G1534" s="3"/>
      <c r="H1534" s="3" t="s">
        <v>9088</v>
      </c>
      <c r="I1534" s="3"/>
      <c r="J1534" s="3"/>
      <c r="K1534" s="3" t="s">
        <v>9084</v>
      </c>
      <c r="L1534" s="4"/>
      <c r="M1534" s="3" t="s">
        <v>9085</v>
      </c>
      <c r="T1534" s="3" t="s">
        <v>9086</v>
      </c>
      <c r="V1534" s="3"/>
      <c r="W1534" s="4"/>
      <c r="X1534" s="5" t="s">
        <v>9087</v>
      </c>
      <c r="Y1534" s="5"/>
      <c r="Z1534" s="3">
        <v>1</v>
      </c>
      <c r="AA1534" s="4"/>
      <c r="AB1534" s="4"/>
      <c r="AE1534" s="3"/>
      <c r="AF1534" s="3"/>
      <c r="AG1534" s="4"/>
      <c r="AH1534" s="4"/>
      <c r="AI1534" s="4"/>
      <c r="AJ1534" s="4"/>
      <c r="AK1534" s="3"/>
      <c r="AL1534" s="3"/>
      <c r="AM1534" s="3"/>
      <c r="AN1534" s="3"/>
      <c r="AO1534" s="4"/>
      <c r="AP1534" s="3"/>
      <c r="AQ1534" s="4"/>
      <c r="AR1534" s="3"/>
      <c r="AS1534" s="3"/>
      <c r="AT1534" s="4"/>
      <c r="AU1534" s="3"/>
      <c r="AV1534" s="4"/>
      <c r="AW1534" s="4"/>
      <c r="AX1534" s="4"/>
      <c r="AY1534" s="4"/>
      <c r="AZ1534" s="4"/>
      <c r="BA1534" s="4"/>
      <c r="BB1534" s="4"/>
      <c r="BC1534" s="4"/>
      <c r="BD1534" s="4"/>
      <c r="BE1534" s="4"/>
      <c r="BF1534" s="3"/>
      <c r="BG1534" s="3"/>
      <c r="BH1534" s="3"/>
      <c r="BI1534" s="4"/>
      <c r="BJ1534" s="3"/>
      <c r="BK1534" s="4"/>
      <c r="BL1534" s="4"/>
      <c r="BM1534" s="3"/>
      <c r="BN1534" s="4"/>
      <c r="BO1534" s="4"/>
      <c r="BP1534" s="4"/>
      <c r="BQ1534" s="4"/>
      <c r="BR1534" s="4"/>
      <c r="BS1534" s="4"/>
      <c r="BT1534" s="4"/>
      <c r="BU1534" s="4"/>
      <c r="BV1534" s="4"/>
      <c r="BW1534" s="4"/>
      <c r="BX1534" s="4"/>
      <c r="BY1534" s="4"/>
      <c r="BZ1534" s="4"/>
      <c r="CA1534" s="4"/>
      <c r="CB1534" s="4"/>
      <c r="CC1534" s="4"/>
      <c r="CD1534" s="4"/>
      <c r="CE1534" s="4"/>
      <c r="CF1534" s="4"/>
      <c r="CG1534" s="4"/>
      <c r="CH1534" s="3"/>
      <c r="CI1534" s="3"/>
      <c r="CJ1534" s="8"/>
      <c r="CK1534" s="4"/>
      <c r="CL1534" s="4"/>
      <c r="CM1534" s="4"/>
      <c r="CN1534" s="4"/>
      <c r="CO1534" s="8"/>
      <c r="CP1534" s="8"/>
      <c r="CQ1534" s="8"/>
      <c r="CR1534" s="8"/>
      <c r="CS1534" s="4"/>
      <c r="CT1534" s="4"/>
      <c r="CU1534" s="4"/>
      <c r="CV1534" s="4"/>
      <c r="CW1534" s="8"/>
      <c r="CX1534" s="4"/>
      <c r="CY1534" s="4"/>
      <c r="CZ1534" s="4"/>
      <c r="DA1534" s="4"/>
      <c r="DB1534" s="4"/>
      <c r="DC1534" s="4"/>
      <c r="DD1534" s="4"/>
      <c r="DE1534" s="4"/>
      <c r="DF1534" s="4"/>
      <c r="DG1534" s="4"/>
      <c r="DH1534" s="4"/>
      <c r="DI1534" s="4"/>
      <c r="DJ1534" s="4"/>
      <c r="DK1534" s="4"/>
      <c r="DL1534" s="4"/>
      <c r="DM1534" s="8"/>
      <c r="DN1534" s="8"/>
      <c r="DO1534" s="8"/>
      <c r="DP1534" s="8"/>
      <c r="DQ1534" s="8"/>
      <c r="DR1534" s="8"/>
      <c r="DS1534" s="4"/>
      <c r="DT1534" s="4"/>
      <c r="DU1534" s="4"/>
    </row>
    <row r="1535" spans="1:146" hidden="1">
      <c r="A1535" s="11" t="s">
        <v>9940</v>
      </c>
      <c r="B1535" s="3" t="s">
        <v>8373</v>
      </c>
      <c r="C1535" s="3">
        <v>2001</v>
      </c>
      <c r="D1535" s="3" t="s">
        <v>9089</v>
      </c>
      <c r="E1535" s="3" t="s">
        <v>9090</v>
      </c>
      <c r="F1535" s="3">
        <v>1</v>
      </c>
      <c r="G1535" s="3"/>
      <c r="H1535" s="3" t="s">
        <v>9095</v>
      </c>
      <c r="I1535" s="3"/>
      <c r="J1535" s="3"/>
      <c r="K1535" s="3" t="s">
        <v>9091</v>
      </c>
      <c r="L1535" s="4"/>
      <c r="M1535" s="3" t="s">
        <v>9092</v>
      </c>
      <c r="T1535" s="3" t="s">
        <v>9093</v>
      </c>
      <c r="V1535" s="3"/>
      <c r="W1535" s="3"/>
      <c r="X1535" s="5" t="s">
        <v>9094</v>
      </c>
      <c r="Y1535" s="5"/>
      <c r="Z1535" s="3">
        <v>1</v>
      </c>
      <c r="AA1535" s="4"/>
      <c r="AB1535" s="3"/>
      <c r="AE1535" s="3"/>
      <c r="AF1535" s="3"/>
      <c r="AG1535" s="4"/>
      <c r="AH1535" s="4"/>
      <c r="AI1535" s="4"/>
      <c r="AJ1535" s="4"/>
      <c r="AK1535" s="3"/>
      <c r="AL1535" s="3"/>
      <c r="AM1535" s="3"/>
      <c r="AN1535" s="3"/>
      <c r="AO1535" s="4"/>
      <c r="AP1535" s="3"/>
      <c r="AQ1535" s="4"/>
      <c r="AR1535" s="3"/>
      <c r="AS1535" s="3"/>
      <c r="AT1535" s="4"/>
      <c r="AU1535" s="3"/>
      <c r="AV1535" s="4"/>
      <c r="AW1535" s="4"/>
      <c r="AX1535" s="4"/>
      <c r="AY1535" s="4"/>
      <c r="AZ1535" s="4"/>
      <c r="BA1535" s="4"/>
      <c r="BB1535" s="4"/>
      <c r="BC1535" s="4"/>
      <c r="BD1535" s="4"/>
      <c r="BE1535" s="4"/>
      <c r="BF1535" s="3"/>
      <c r="BG1535" s="3"/>
      <c r="BH1535" s="3"/>
      <c r="BI1535" s="4"/>
      <c r="BJ1535" s="3"/>
      <c r="BK1535" s="4"/>
      <c r="BL1535" s="4"/>
      <c r="BM1535" s="3"/>
      <c r="BN1535" s="4"/>
      <c r="BO1535" s="4"/>
      <c r="BP1535" s="4"/>
      <c r="BQ1535" s="4"/>
      <c r="BR1535" s="4"/>
      <c r="BS1535" s="4"/>
      <c r="BT1535" s="4"/>
      <c r="BU1535" s="4"/>
      <c r="BV1535" s="4"/>
      <c r="BW1535" s="4"/>
      <c r="BX1535" s="4"/>
      <c r="BY1535" s="4"/>
      <c r="BZ1535" s="4"/>
      <c r="CA1535" s="3"/>
      <c r="CB1535" s="3"/>
      <c r="CC1535" s="8"/>
      <c r="CD1535" s="4"/>
      <c r="CE1535" s="4"/>
      <c r="CF1535" s="4"/>
      <c r="CG1535" s="4"/>
      <c r="CH1535" s="8"/>
      <c r="CI1535" s="8"/>
      <c r="CJ1535" s="8"/>
      <c r="CK1535" s="8"/>
      <c r="CL1535" s="4"/>
      <c r="CM1535" s="4"/>
      <c r="CN1535" s="4"/>
      <c r="CO1535" s="4"/>
      <c r="CP1535" s="4"/>
      <c r="CQ1535" s="4"/>
      <c r="CR1535" s="4"/>
      <c r="CS1535" s="4"/>
      <c r="CT1535" s="4"/>
      <c r="CU1535" s="4"/>
      <c r="CV1535" s="4"/>
      <c r="CW1535" s="4"/>
      <c r="CX1535" s="4"/>
      <c r="CY1535" s="4"/>
      <c r="CZ1535" s="4"/>
      <c r="DA1535" s="4"/>
      <c r="DB1535" s="4"/>
      <c r="DC1535" s="4"/>
      <c r="DD1535" s="4"/>
      <c r="DE1535" s="4"/>
      <c r="DF1535" s="8"/>
      <c r="DG1535" s="8"/>
      <c r="DH1535" s="8"/>
      <c r="DI1535" s="8"/>
      <c r="DJ1535" s="8"/>
      <c r="DK1535" s="8"/>
      <c r="DL1535" s="4"/>
      <c r="DM1535" s="4"/>
      <c r="DN1535" s="4"/>
    </row>
    <row r="1536" spans="1:146" hidden="1">
      <c r="A1536" s="11" t="s">
        <v>9940</v>
      </c>
      <c r="B1536" s="3" t="s">
        <v>8373</v>
      </c>
      <c r="C1536" s="3">
        <v>2008</v>
      </c>
      <c r="D1536" s="3" t="s">
        <v>9773</v>
      </c>
      <c r="E1536" s="3" t="s">
        <v>9774</v>
      </c>
      <c r="F1536" s="3">
        <v>1</v>
      </c>
      <c r="G1536" s="3"/>
      <c r="H1536" s="3" t="s">
        <v>9777</v>
      </c>
      <c r="I1536" s="3"/>
      <c r="J1536" s="3"/>
      <c r="K1536" s="3" t="s">
        <v>2533</v>
      </c>
      <c r="L1536" s="4"/>
      <c r="M1536" s="3" t="s">
        <v>9130</v>
      </c>
      <c r="T1536" s="3" t="s">
        <v>9775</v>
      </c>
      <c r="V1536" s="3"/>
      <c r="W1536" s="3"/>
      <c r="X1536" s="5" t="s">
        <v>9776</v>
      </c>
      <c r="Y1536" s="5"/>
      <c r="Z1536" s="3">
        <v>0</v>
      </c>
      <c r="AA1536" s="3" t="s">
        <v>9178</v>
      </c>
      <c r="AB1536" s="4"/>
      <c r="AE1536" s="3"/>
      <c r="AF1536" s="4"/>
      <c r="AG1536" s="4"/>
      <c r="AH1536" s="4"/>
      <c r="AI1536" s="4"/>
      <c r="AJ1536" s="4"/>
      <c r="AK1536" s="3"/>
      <c r="AL1536" s="3"/>
      <c r="AM1536" s="3"/>
      <c r="AN1536" s="3"/>
      <c r="AO1536" s="4"/>
      <c r="AP1536" s="12"/>
      <c r="AQ1536" s="4"/>
      <c r="AR1536" s="3"/>
      <c r="AS1536" s="3"/>
      <c r="AT1536" s="4"/>
      <c r="AU1536" s="3"/>
      <c r="AV1536" s="4"/>
      <c r="AW1536" s="4"/>
      <c r="AX1536" s="4"/>
      <c r="AY1536" s="4"/>
      <c r="AZ1536" s="4"/>
      <c r="BA1536" s="4"/>
      <c r="BB1536" s="4"/>
      <c r="BC1536" s="4"/>
      <c r="BD1536" s="4"/>
      <c r="BE1536" s="4"/>
      <c r="BF1536" s="3"/>
      <c r="BG1536" s="3"/>
      <c r="BH1536" s="3"/>
      <c r="BI1536" s="4"/>
      <c r="BJ1536" s="3"/>
      <c r="BK1536" s="4"/>
      <c r="BL1536" s="4"/>
      <c r="BM1536" s="3"/>
      <c r="BN1536" s="4"/>
      <c r="BO1536" s="4"/>
      <c r="BP1536" s="4"/>
      <c r="BQ1536" s="4"/>
      <c r="BR1536" s="4"/>
      <c r="BS1536" s="4"/>
      <c r="BT1536" s="4"/>
      <c r="BU1536" s="4"/>
      <c r="BV1536" s="4"/>
      <c r="BW1536" s="3"/>
      <c r="BX1536" s="3"/>
      <c r="BY1536" s="4"/>
      <c r="BZ1536" s="4"/>
      <c r="CA1536" s="4"/>
      <c r="CB1536" s="4"/>
      <c r="CC1536" s="4"/>
      <c r="CD1536" s="4"/>
      <c r="CE1536" s="4"/>
      <c r="CF1536" s="4"/>
      <c r="CG1536" s="4"/>
      <c r="CH1536" s="4"/>
      <c r="CI1536" s="4"/>
      <c r="CJ1536" s="4"/>
      <c r="CK1536" s="4"/>
      <c r="CL1536" s="4"/>
      <c r="CM1536" s="4"/>
      <c r="CN1536" s="4"/>
      <c r="CO1536" s="4"/>
      <c r="CP1536" s="4"/>
      <c r="CQ1536" s="4"/>
      <c r="CR1536" s="4"/>
      <c r="CS1536" s="4"/>
      <c r="CT1536" s="4"/>
      <c r="CU1536" s="4"/>
      <c r="CV1536" s="4"/>
      <c r="CW1536" s="4"/>
      <c r="CX1536" s="4"/>
      <c r="CY1536" s="4"/>
      <c r="CZ1536" s="4"/>
      <c r="DA1536" s="4"/>
      <c r="DB1536" s="4"/>
      <c r="DC1536" s="4"/>
      <c r="DD1536" s="4"/>
      <c r="DE1536" s="4"/>
      <c r="DF1536" s="4"/>
      <c r="DG1536" s="4"/>
      <c r="DH1536" s="4"/>
      <c r="DI1536" s="4"/>
      <c r="DJ1536" s="4"/>
    </row>
    <row r="1537" spans="1:149" hidden="1">
      <c r="A1537" s="11" t="s">
        <v>9940</v>
      </c>
      <c r="B1537" s="3" t="s">
        <v>8373</v>
      </c>
      <c r="C1537" s="3">
        <v>2009</v>
      </c>
      <c r="D1537" s="3" t="s">
        <v>5803</v>
      </c>
      <c r="E1537" s="3" t="s">
        <v>9778</v>
      </c>
      <c r="F1537" s="3">
        <v>1</v>
      </c>
      <c r="G1537" s="3"/>
      <c r="H1537" s="3" t="s">
        <v>5807</v>
      </c>
      <c r="I1537" s="3"/>
      <c r="J1537" s="3"/>
      <c r="K1537" s="3" t="s">
        <v>2541</v>
      </c>
      <c r="L1537" s="4"/>
      <c r="M1537" s="12">
        <v>27120</v>
      </c>
      <c r="T1537" s="3" t="s">
        <v>5805</v>
      </c>
      <c r="V1537" s="3"/>
      <c r="W1537" s="3"/>
      <c r="X1537" s="5" t="s">
        <v>5808</v>
      </c>
      <c r="Y1537" s="5"/>
      <c r="Z1537" s="3">
        <v>0</v>
      </c>
      <c r="AA1537" s="3" t="s">
        <v>9178</v>
      </c>
      <c r="AB1537" s="4"/>
      <c r="AE1537" s="3"/>
      <c r="AF1537" s="4"/>
      <c r="AG1537" s="4"/>
      <c r="AH1537" s="4"/>
      <c r="AI1537" s="4"/>
      <c r="AJ1537" s="4"/>
      <c r="AK1537" s="3"/>
      <c r="AL1537" s="3"/>
      <c r="AM1537" s="3"/>
      <c r="AN1537" s="3"/>
      <c r="AO1537" s="4"/>
      <c r="AP1537" s="3"/>
      <c r="AQ1537" s="4"/>
      <c r="AR1537" s="3"/>
      <c r="AS1537" s="3"/>
      <c r="AT1537" s="4"/>
      <c r="AU1537" s="3"/>
      <c r="AV1537" s="4"/>
      <c r="AW1537" s="4"/>
      <c r="AX1537" s="4"/>
      <c r="AY1537" s="4"/>
      <c r="AZ1537" s="4"/>
      <c r="BA1537" s="4"/>
      <c r="BB1537" s="4"/>
      <c r="BC1537" s="4"/>
      <c r="BD1537" s="4"/>
      <c r="BE1537" s="4"/>
      <c r="BF1537" s="3"/>
      <c r="BG1537" s="3"/>
      <c r="BH1537" s="3"/>
      <c r="BI1537" s="4"/>
      <c r="BJ1537" s="3"/>
      <c r="BK1537" s="4"/>
      <c r="BL1537" s="4"/>
      <c r="BM1537" s="3"/>
      <c r="BN1537" s="4"/>
      <c r="BO1537" s="4"/>
      <c r="BP1537" s="4"/>
      <c r="BQ1537" s="4"/>
      <c r="BR1537" s="4"/>
      <c r="BS1537" s="4"/>
      <c r="BT1537" s="4"/>
      <c r="BU1537" s="4"/>
      <c r="BV1537" s="4"/>
      <c r="BW1537" s="4"/>
      <c r="BX1537" s="4"/>
      <c r="BY1537" s="4"/>
      <c r="BZ1537" s="4"/>
      <c r="CA1537" s="4"/>
      <c r="CB1537" s="4"/>
      <c r="CC1537" s="4"/>
      <c r="CD1537" s="4"/>
      <c r="CE1537" s="4"/>
      <c r="CF1537" s="4"/>
      <c r="CG1537" s="4"/>
      <c r="CH1537" s="4"/>
      <c r="CI1537" s="4"/>
      <c r="CJ1537" s="4"/>
      <c r="CK1537" s="4"/>
      <c r="CL1537" s="3"/>
      <c r="CM1537" s="3"/>
      <c r="CN1537" s="4"/>
      <c r="CO1537" s="4"/>
      <c r="CP1537" s="4"/>
      <c r="CQ1537" s="4"/>
      <c r="CR1537" s="4"/>
      <c r="CS1537" s="4"/>
      <c r="CT1537" s="4"/>
      <c r="CU1537" s="4"/>
      <c r="CV1537" s="4"/>
      <c r="CW1537" s="4"/>
      <c r="CX1537" s="4"/>
      <c r="CY1537" s="4"/>
      <c r="CZ1537" s="4"/>
      <c r="DA1537" s="4"/>
      <c r="DB1537" s="4"/>
      <c r="DC1537" s="4"/>
      <c r="DD1537" s="4"/>
      <c r="DE1537" s="4"/>
      <c r="DF1537" s="4"/>
      <c r="DG1537" s="4"/>
      <c r="DH1537" s="4"/>
      <c r="DI1537" s="4"/>
      <c r="DJ1537" s="4"/>
      <c r="DK1537" s="4"/>
      <c r="DL1537" s="4"/>
      <c r="DM1537" s="4"/>
      <c r="DN1537" s="4"/>
      <c r="DO1537" s="4"/>
      <c r="DP1537" s="4"/>
      <c r="DQ1537" s="4"/>
      <c r="DR1537" s="4"/>
      <c r="DS1537" s="4"/>
      <c r="DT1537" s="4"/>
      <c r="DU1537" s="4"/>
      <c r="DV1537" s="4"/>
      <c r="DW1537" s="4"/>
      <c r="DX1537" s="4"/>
      <c r="DY1537" s="4"/>
    </row>
    <row r="1538" spans="1:149" hidden="1">
      <c r="A1538" s="11" t="s">
        <v>9940</v>
      </c>
      <c r="B1538" s="3" t="s">
        <v>8373</v>
      </c>
      <c r="C1538" s="3">
        <v>2006</v>
      </c>
      <c r="D1538" s="3" t="s">
        <v>4940</v>
      </c>
      <c r="E1538" s="3" t="s">
        <v>9779</v>
      </c>
      <c r="F1538" s="3">
        <v>1</v>
      </c>
      <c r="G1538" s="3"/>
      <c r="H1538" s="3" t="s">
        <v>9780</v>
      </c>
      <c r="I1538" s="3"/>
      <c r="J1538" s="3"/>
      <c r="K1538" s="3" t="s">
        <v>1073</v>
      </c>
      <c r="L1538" s="4"/>
      <c r="M1538" s="3" t="s">
        <v>8445</v>
      </c>
      <c r="T1538" s="3" t="s">
        <v>4942</v>
      </c>
      <c r="V1538" s="3"/>
      <c r="W1538" s="3"/>
      <c r="X1538" s="5" t="s">
        <v>4945</v>
      </c>
      <c r="Y1538" s="5"/>
      <c r="Z1538" s="3">
        <v>0</v>
      </c>
      <c r="AA1538" s="3" t="s">
        <v>9178</v>
      </c>
      <c r="AB1538" s="4"/>
      <c r="AE1538" s="3"/>
      <c r="AF1538" s="4"/>
      <c r="AG1538" s="4"/>
      <c r="AH1538" s="4"/>
      <c r="AI1538" s="4"/>
      <c r="AJ1538" s="4"/>
      <c r="AK1538" s="3"/>
      <c r="AL1538" s="3"/>
      <c r="AM1538" s="3"/>
      <c r="AN1538" s="3"/>
      <c r="AO1538" s="4"/>
      <c r="AP1538" s="3"/>
      <c r="AQ1538" s="4"/>
      <c r="AR1538" s="3"/>
      <c r="AS1538" s="3"/>
      <c r="AT1538" s="4"/>
      <c r="AU1538" s="3"/>
      <c r="AV1538" s="4"/>
      <c r="AW1538" s="4"/>
      <c r="AX1538" s="4"/>
      <c r="AY1538" s="4"/>
      <c r="AZ1538" s="4"/>
      <c r="BA1538" s="4"/>
      <c r="BB1538" s="4"/>
      <c r="BC1538" s="4"/>
      <c r="BD1538" s="4"/>
      <c r="BE1538" s="4"/>
      <c r="BF1538" s="3"/>
      <c r="BG1538" s="3"/>
      <c r="BH1538" s="3"/>
      <c r="BI1538" s="4"/>
      <c r="BJ1538" s="3"/>
      <c r="BK1538" s="4"/>
      <c r="BL1538" s="4"/>
      <c r="BM1538" s="3"/>
      <c r="BN1538" s="4"/>
      <c r="BO1538" s="4"/>
      <c r="BP1538" s="4"/>
      <c r="BQ1538" s="4"/>
      <c r="BR1538" s="4"/>
      <c r="BS1538" s="4"/>
      <c r="BT1538" s="4"/>
      <c r="BU1538" s="4"/>
      <c r="BV1538" s="4"/>
      <c r="BW1538" s="4"/>
      <c r="BX1538" s="4"/>
      <c r="BY1538" s="4"/>
      <c r="BZ1538" s="4"/>
      <c r="CA1538" s="4"/>
      <c r="CB1538" s="4"/>
      <c r="CC1538" s="4"/>
      <c r="CD1538" s="4"/>
      <c r="CE1538" s="4"/>
      <c r="CF1538" s="4"/>
      <c r="CG1538" s="4"/>
      <c r="CH1538" s="4"/>
      <c r="CI1538" s="4"/>
      <c r="CJ1538" s="4"/>
      <c r="CK1538" s="4"/>
      <c r="CL1538" s="4"/>
      <c r="CM1538" s="4"/>
      <c r="CN1538" s="4"/>
      <c r="CO1538" s="4"/>
      <c r="CP1538" s="4"/>
      <c r="CQ1538" s="4"/>
      <c r="CR1538" s="4"/>
      <c r="CS1538" s="4"/>
      <c r="CT1538" s="3"/>
      <c r="CU1538" s="3"/>
      <c r="CV1538" s="4"/>
      <c r="CW1538" s="4"/>
      <c r="CX1538" s="4"/>
      <c r="CY1538" s="4"/>
      <c r="CZ1538" s="4"/>
      <c r="DA1538" s="4"/>
      <c r="DB1538" s="4"/>
      <c r="DC1538" s="4"/>
      <c r="DD1538" s="4"/>
      <c r="DE1538" s="4"/>
      <c r="DF1538" s="4"/>
      <c r="DG1538" s="4"/>
      <c r="DH1538" s="4"/>
      <c r="DI1538" s="4"/>
      <c r="DJ1538" s="4"/>
      <c r="DK1538" s="4"/>
      <c r="DL1538" s="4"/>
      <c r="DM1538" s="4"/>
      <c r="DN1538" s="4"/>
      <c r="DO1538" s="4"/>
      <c r="DP1538" s="4"/>
      <c r="DQ1538" s="4"/>
      <c r="DR1538" s="4"/>
      <c r="DS1538" s="4"/>
      <c r="DT1538" s="4"/>
      <c r="DU1538" s="4"/>
      <c r="DV1538" s="4"/>
      <c r="DW1538" s="4"/>
      <c r="DX1538" s="4"/>
      <c r="DY1538" s="4"/>
      <c r="DZ1538" s="4"/>
      <c r="EA1538" s="4"/>
      <c r="EB1538" s="4"/>
      <c r="EC1538" s="4"/>
      <c r="ED1538" s="4"/>
      <c r="EE1538" s="4"/>
      <c r="EF1538" s="4"/>
      <c r="EG1538" s="4"/>
    </row>
    <row r="1539" spans="1:149" hidden="1">
      <c r="A1539" s="11" t="s">
        <v>9940</v>
      </c>
      <c r="B1539" s="3" t="s">
        <v>8373</v>
      </c>
      <c r="C1539" s="3">
        <v>1979</v>
      </c>
      <c r="D1539" s="3" t="s">
        <v>9781</v>
      </c>
      <c r="E1539" s="3" t="s">
        <v>9782</v>
      </c>
      <c r="F1539" s="3">
        <v>1</v>
      </c>
      <c r="G1539" s="3"/>
      <c r="H1539" s="3" t="s">
        <v>9787</v>
      </c>
      <c r="I1539" s="3"/>
      <c r="J1539" s="3"/>
      <c r="K1539" s="3" t="s">
        <v>9783</v>
      </c>
      <c r="L1539" s="4"/>
      <c r="M1539" s="3" t="s">
        <v>9784</v>
      </c>
      <c r="T1539" s="3" t="s">
        <v>9785</v>
      </c>
      <c r="V1539" s="3"/>
      <c r="W1539" s="3"/>
      <c r="X1539" s="5" t="s">
        <v>9786</v>
      </c>
      <c r="Y1539" s="5"/>
      <c r="Z1539" s="3">
        <v>0</v>
      </c>
      <c r="AA1539" s="3" t="s">
        <v>9237</v>
      </c>
      <c r="AB1539" s="4"/>
      <c r="AE1539" s="3"/>
      <c r="AF1539" s="4"/>
      <c r="AG1539" s="4"/>
      <c r="AH1539" s="4"/>
      <c r="AI1539" s="4"/>
      <c r="AJ1539" s="4"/>
      <c r="AK1539" s="3"/>
      <c r="AL1539" s="3"/>
      <c r="AM1539" s="3"/>
      <c r="AN1539" s="3"/>
      <c r="AO1539" s="4"/>
      <c r="AP1539" s="3"/>
      <c r="AQ1539" s="4"/>
      <c r="AR1539" s="3"/>
      <c r="AS1539" s="3"/>
      <c r="AT1539" s="4"/>
      <c r="AU1539" s="3"/>
      <c r="AV1539" s="4"/>
      <c r="AW1539" s="4"/>
      <c r="AX1539" s="4"/>
      <c r="AY1539" s="4"/>
      <c r="AZ1539" s="4"/>
      <c r="BA1539" s="4"/>
      <c r="BB1539" s="4"/>
      <c r="BC1539" s="4"/>
      <c r="BD1539" s="4"/>
      <c r="BE1539" s="4"/>
      <c r="BF1539" s="3"/>
      <c r="BG1539" s="3"/>
      <c r="BH1539" s="3"/>
      <c r="BI1539" s="4"/>
      <c r="BJ1539" s="3"/>
      <c r="BK1539" s="4"/>
      <c r="BL1539" s="4"/>
      <c r="BM1539" s="4"/>
      <c r="BN1539" s="3"/>
      <c r="BO1539" s="4"/>
      <c r="BP1539" s="4"/>
      <c r="BQ1539" s="4"/>
      <c r="BR1539" s="4"/>
      <c r="BS1539" s="4"/>
      <c r="BT1539" s="4"/>
      <c r="BU1539" s="4"/>
      <c r="BV1539" s="4"/>
      <c r="BW1539" s="4"/>
      <c r="BX1539" s="4"/>
      <c r="BY1539" s="4"/>
      <c r="BZ1539" s="4"/>
      <c r="CA1539" s="4"/>
      <c r="CB1539" s="4"/>
      <c r="CC1539" s="4"/>
      <c r="CD1539" s="4"/>
      <c r="CE1539" s="4"/>
      <c r="CF1539" s="4"/>
      <c r="CG1539" s="4"/>
      <c r="CH1539" s="4"/>
      <c r="CI1539" s="4"/>
      <c r="CJ1539" s="4"/>
      <c r="CK1539" s="4"/>
      <c r="CL1539" s="4"/>
      <c r="CM1539" s="4"/>
      <c r="CN1539" s="4"/>
      <c r="CO1539" s="4"/>
      <c r="CP1539" s="4"/>
      <c r="CQ1539" s="4"/>
      <c r="CR1539" s="4"/>
      <c r="CS1539" s="4"/>
      <c r="CT1539" s="4"/>
      <c r="CU1539" s="4"/>
      <c r="CV1539" s="4"/>
      <c r="CW1539" s="4"/>
      <c r="CX1539" s="4"/>
      <c r="CY1539" s="4"/>
      <c r="CZ1539" s="4"/>
      <c r="DA1539" s="3"/>
      <c r="DB1539" s="3"/>
      <c r="DC1539" s="4"/>
      <c r="DD1539" s="4"/>
      <c r="DE1539" s="4"/>
      <c r="DF1539" s="4"/>
      <c r="DG1539" s="4"/>
      <c r="DH1539" s="4"/>
      <c r="DI1539" s="4"/>
      <c r="DJ1539" s="4"/>
      <c r="DK1539" s="4"/>
      <c r="DL1539" s="4"/>
      <c r="DM1539" s="4"/>
      <c r="DN1539" s="4"/>
      <c r="DO1539" s="4"/>
      <c r="DP1539" s="4"/>
      <c r="DQ1539" s="4"/>
      <c r="DR1539" s="4"/>
      <c r="DS1539" s="4"/>
      <c r="DT1539" s="4"/>
      <c r="DU1539" s="4"/>
      <c r="DV1539" s="4"/>
      <c r="DW1539" s="4"/>
      <c r="DX1539" s="4"/>
      <c r="DY1539" s="4"/>
      <c r="DZ1539" s="4"/>
      <c r="EA1539" s="4"/>
      <c r="EB1539" s="4"/>
      <c r="EC1539" s="4"/>
      <c r="ED1539" s="4"/>
      <c r="EE1539" s="4"/>
      <c r="EF1539" s="4"/>
      <c r="EG1539" s="4"/>
      <c r="EH1539" s="4"/>
      <c r="EI1539" s="4"/>
      <c r="EJ1539" s="4"/>
      <c r="EK1539" s="4"/>
      <c r="EL1539" s="4"/>
      <c r="EM1539" s="4"/>
      <c r="EN1539" s="4"/>
    </row>
    <row r="1540" spans="1:149" hidden="1">
      <c r="A1540" s="11" t="s">
        <v>9940</v>
      </c>
      <c r="B1540" s="3" t="s">
        <v>8386</v>
      </c>
      <c r="C1540" s="3">
        <v>2013</v>
      </c>
      <c r="D1540" s="3" t="s">
        <v>9788</v>
      </c>
      <c r="E1540" s="3" t="s">
        <v>9789</v>
      </c>
      <c r="F1540" s="3">
        <v>1</v>
      </c>
      <c r="G1540" s="3"/>
      <c r="H1540" s="3" t="s">
        <v>9793</v>
      </c>
      <c r="I1540" s="3"/>
      <c r="J1540" s="3"/>
      <c r="K1540" s="3" t="s">
        <v>9790</v>
      </c>
      <c r="L1540" s="3" t="s">
        <v>9791</v>
      </c>
      <c r="M1540" s="4"/>
      <c r="T1540" s="4"/>
      <c r="V1540" s="3"/>
      <c r="W1540" s="3"/>
      <c r="X1540" s="5" t="s">
        <v>9792</v>
      </c>
      <c r="Y1540" s="5"/>
      <c r="Z1540" s="3">
        <v>0</v>
      </c>
      <c r="AA1540" s="3" t="s">
        <v>9178</v>
      </c>
      <c r="AB1540" s="4"/>
      <c r="AE1540" s="3"/>
      <c r="AF1540" s="4"/>
      <c r="AG1540" s="4"/>
      <c r="AH1540" s="4"/>
      <c r="AI1540" s="4"/>
      <c r="AJ1540" s="4"/>
      <c r="AK1540" s="3"/>
      <c r="AL1540" s="3"/>
      <c r="AM1540" s="3"/>
      <c r="AN1540" s="3"/>
      <c r="AO1540" s="4"/>
      <c r="AP1540" s="3"/>
      <c r="AQ1540" s="4"/>
      <c r="AR1540" s="4"/>
      <c r="AS1540" s="4"/>
      <c r="AT1540" s="4"/>
      <c r="AU1540" s="4"/>
      <c r="AV1540" s="4"/>
      <c r="AW1540" s="4"/>
      <c r="AX1540" s="4"/>
      <c r="AY1540" s="4"/>
      <c r="AZ1540" s="4"/>
      <c r="BA1540" s="3"/>
      <c r="BB1540" s="3"/>
      <c r="BC1540" s="4"/>
      <c r="BD1540" s="4"/>
      <c r="BE1540" s="3"/>
      <c r="BF1540" s="3"/>
      <c r="BG1540" s="3"/>
      <c r="BH1540" s="4"/>
      <c r="BI1540" s="3"/>
      <c r="BJ1540" s="4"/>
      <c r="BK1540" s="4"/>
      <c r="BL1540" s="3"/>
      <c r="BM1540" s="3"/>
      <c r="BN1540" s="4"/>
      <c r="BO1540" s="4"/>
      <c r="BP1540" s="4"/>
      <c r="BQ1540" s="4"/>
      <c r="BR1540" s="4"/>
      <c r="BS1540" s="4"/>
      <c r="BT1540" s="4"/>
      <c r="BU1540" s="4"/>
      <c r="BV1540" s="4"/>
      <c r="BW1540" s="4"/>
      <c r="BX1540" s="4"/>
      <c r="BY1540" s="4"/>
      <c r="BZ1540" s="4"/>
      <c r="CA1540" s="4"/>
      <c r="CB1540" s="4"/>
      <c r="CC1540" s="4"/>
      <c r="CD1540" s="4"/>
      <c r="CE1540" s="4"/>
      <c r="CF1540" s="4"/>
      <c r="CG1540" s="4"/>
      <c r="CH1540" s="4"/>
      <c r="CI1540" s="4"/>
      <c r="CJ1540" s="4"/>
      <c r="CK1540" s="4"/>
      <c r="CL1540" s="4"/>
      <c r="CM1540" s="4"/>
      <c r="CN1540" s="4"/>
      <c r="CO1540" s="4"/>
      <c r="CP1540" s="4"/>
      <c r="CQ1540" s="4"/>
      <c r="CR1540" s="4"/>
      <c r="CS1540" s="4"/>
      <c r="CT1540" s="4"/>
      <c r="CU1540" s="4"/>
      <c r="CV1540" s="4"/>
      <c r="CW1540" s="4"/>
      <c r="CX1540" s="4"/>
      <c r="CY1540" s="4"/>
      <c r="CZ1540" s="4"/>
      <c r="DA1540" s="4"/>
      <c r="DB1540" s="4"/>
      <c r="DC1540" s="4"/>
      <c r="DD1540" s="4"/>
      <c r="DE1540" s="4"/>
      <c r="DF1540" s="3"/>
      <c r="DG1540" s="3"/>
      <c r="DH1540" s="4"/>
      <c r="DI1540" s="4"/>
      <c r="DJ1540" s="4"/>
      <c r="DK1540" s="4"/>
      <c r="DL1540" s="4"/>
      <c r="DM1540" s="4"/>
      <c r="DN1540" s="4"/>
      <c r="DO1540" s="4"/>
      <c r="DP1540" s="4"/>
      <c r="DQ1540" s="4"/>
      <c r="DR1540" s="4"/>
      <c r="DS1540" s="4"/>
      <c r="DT1540" s="4"/>
      <c r="DU1540" s="4"/>
      <c r="DV1540" s="4"/>
      <c r="DW1540" s="4"/>
      <c r="DX1540" s="4"/>
      <c r="DY1540" s="4"/>
      <c r="DZ1540" s="4"/>
      <c r="EA1540" s="4"/>
      <c r="EB1540" s="4"/>
      <c r="EC1540" s="4"/>
      <c r="ED1540" s="4"/>
      <c r="EE1540" s="4"/>
      <c r="EF1540" s="4"/>
      <c r="EG1540" s="4"/>
      <c r="EH1540" s="4"/>
      <c r="EI1540" s="4"/>
      <c r="EJ1540" s="4"/>
      <c r="EK1540" s="4"/>
      <c r="EL1540" s="4"/>
      <c r="EM1540" s="4"/>
      <c r="EN1540" s="4"/>
      <c r="EO1540" s="4"/>
      <c r="EP1540" s="4"/>
      <c r="EQ1540" s="4"/>
      <c r="ER1540" s="4"/>
      <c r="ES1540" s="4"/>
    </row>
    <row r="1541" spans="1:149" hidden="1">
      <c r="A1541" s="11" t="s">
        <v>9940</v>
      </c>
      <c r="B1541" s="3" t="s">
        <v>8373</v>
      </c>
      <c r="C1541" s="3">
        <v>2007</v>
      </c>
      <c r="D1541" s="3" t="s">
        <v>1413</v>
      </c>
      <c r="E1541" s="3" t="s">
        <v>9794</v>
      </c>
      <c r="F1541" s="3">
        <v>1</v>
      </c>
      <c r="G1541" s="3"/>
      <c r="H1541" s="3" t="s">
        <v>1418</v>
      </c>
      <c r="I1541" s="3"/>
      <c r="J1541" s="3"/>
      <c r="K1541" s="3" t="s">
        <v>1414</v>
      </c>
      <c r="L1541" s="4"/>
      <c r="M1541" s="3" t="s">
        <v>8639</v>
      </c>
      <c r="T1541" s="3" t="s">
        <v>1416</v>
      </c>
      <c r="V1541" s="3"/>
      <c r="W1541" s="3"/>
      <c r="X1541" s="5" t="s">
        <v>1419</v>
      </c>
      <c r="Y1541" s="5"/>
      <c r="Z1541" s="3">
        <v>0</v>
      </c>
      <c r="AA1541" s="3" t="s">
        <v>9265</v>
      </c>
      <c r="AB1541" s="4"/>
      <c r="AE1541" s="3"/>
      <c r="AF1541" s="4"/>
      <c r="AG1541" s="4"/>
      <c r="AH1541" s="4"/>
      <c r="AI1541" s="4"/>
      <c r="AJ1541" s="4"/>
      <c r="AK1541" s="3"/>
      <c r="AL1541" s="3"/>
      <c r="AM1541" s="3"/>
      <c r="AN1541" s="3"/>
      <c r="AO1541" s="4"/>
      <c r="AP1541" s="3"/>
      <c r="AQ1541" s="4"/>
      <c r="AR1541" s="3"/>
      <c r="AS1541" s="3"/>
      <c r="AT1541" s="4"/>
      <c r="AU1541" s="3"/>
      <c r="AV1541" s="4"/>
      <c r="AW1541" s="4"/>
      <c r="AX1541" s="4"/>
      <c r="AY1541" s="4"/>
      <c r="AZ1541" s="4"/>
      <c r="BA1541" s="4"/>
      <c r="BB1541" s="4"/>
      <c r="BC1541" s="4"/>
      <c r="BD1541" s="4"/>
      <c r="BE1541" s="4"/>
      <c r="BF1541" s="3"/>
      <c r="BG1541" s="3"/>
      <c r="BH1541" s="3"/>
      <c r="BI1541" s="4"/>
      <c r="BJ1541" s="3"/>
      <c r="BK1541" s="4"/>
      <c r="BL1541" s="4"/>
      <c r="BM1541" s="3"/>
      <c r="BN1541" s="4"/>
      <c r="BO1541" s="4"/>
      <c r="BP1541" s="4"/>
      <c r="BQ1541" s="4"/>
      <c r="BR1541" s="4"/>
      <c r="BS1541" s="4"/>
      <c r="BT1541" s="4"/>
      <c r="BU1541" s="4"/>
      <c r="BV1541" s="4"/>
      <c r="BW1541" s="4"/>
      <c r="BX1541" s="4"/>
      <c r="BY1541" s="4"/>
      <c r="BZ1541" s="4"/>
      <c r="CA1541" s="4"/>
      <c r="CB1541" s="4"/>
      <c r="CC1541" s="4"/>
      <c r="CD1541" s="4"/>
      <c r="CE1541" s="4"/>
      <c r="CF1541" s="4"/>
      <c r="CG1541" s="4"/>
      <c r="CH1541" s="4"/>
      <c r="CI1541" s="4"/>
      <c r="CJ1541" s="4"/>
      <c r="CK1541" s="4"/>
      <c r="CL1541" s="4"/>
      <c r="CM1541" s="4"/>
      <c r="CN1541" s="3"/>
      <c r="CO1541" s="3"/>
      <c r="CP1541" s="4"/>
      <c r="CQ1541" s="4"/>
      <c r="CR1541" s="4"/>
      <c r="CS1541" s="4"/>
      <c r="CT1541" s="4"/>
      <c r="CU1541" s="4"/>
      <c r="CV1541" s="4"/>
      <c r="CW1541" s="4"/>
      <c r="CX1541" s="4"/>
      <c r="CY1541" s="4"/>
      <c r="CZ1541" s="4"/>
      <c r="DA1541" s="4"/>
      <c r="DB1541" s="4"/>
      <c r="DC1541" s="4"/>
      <c r="DD1541" s="4"/>
      <c r="DE1541" s="4"/>
      <c r="DF1541" s="4"/>
      <c r="DG1541" s="4"/>
      <c r="DH1541" s="4"/>
      <c r="DI1541" s="4"/>
      <c r="DJ1541" s="4"/>
      <c r="DK1541" s="4"/>
      <c r="DL1541" s="4"/>
      <c r="DM1541" s="4"/>
      <c r="DN1541" s="4"/>
      <c r="DO1541" s="4"/>
      <c r="DP1541" s="4"/>
      <c r="DQ1541" s="4"/>
      <c r="DR1541" s="4"/>
      <c r="DS1541" s="4"/>
      <c r="DT1541" s="4"/>
      <c r="DU1541" s="4"/>
      <c r="DV1541" s="4"/>
      <c r="DW1541" s="4"/>
      <c r="DX1541" s="4"/>
      <c r="DY1541" s="4"/>
      <c r="DZ1541" s="4"/>
      <c r="EA1541" s="4"/>
    </row>
    <row r="1542" spans="1:149" hidden="1">
      <c r="A1542" s="11" t="s">
        <v>9940</v>
      </c>
      <c r="B1542" s="3" t="s">
        <v>8373</v>
      </c>
      <c r="C1542" s="3">
        <v>2008</v>
      </c>
      <c r="D1542" s="3" t="s">
        <v>9795</v>
      </c>
      <c r="E1542" s="3" t="s">
        <v>9796</v>
      </c>
      <c r="F1542" s="3">
        <v>0</v>
      </c>
      <c r="G1542" s="3" t="s">
        <v>9237</v>
      </c>
      <c r="H1542" s="3" t="s">
        <v>9799</v>
      </c>
      <c r="I1542" s="3"/>
      <c r="J1542" s="3"/>
      <c r="K1542" s="3" t="s">
        <v>370</v>
      </c>
      <c r="L1542" s="4"/>
      <c r="M1542" s="3" t="s">
        <v>8582</v>
      </c>
      <c r="T1542" s="3" t="s">
        <v>9797</v>
      </c>
      <c r="V1542" s="4"/>
      <c r="W1542" s="4"/>
      <c r="X1542" s="5" t="s">
        <v>9798</v>
      </c>
      <c r="Y1542" s="5"/>
      <c r="Z1542" s="4"/>
      <c r="AA1542" s="4"/>
      <c r="AB1542" s="4"/>
      <c r="AE1542" s="4"/>
      <c r="AF1542" s="4"/>
      <c r="AG1542" s="3"/>
      <c r="AH1542" s="3"/>
      <c r="AI1542" s="3"/>
      <c r="AJ1542" s="3"/>
      <c r="AK1542" s="4"/>
      <c r="AL1542" s="3"/>
      <c r="AM1542" s="4"/>
      <c r="AN1542" s="3"/>
      <c r="AO1542" s="3"/>
      <c r="AP1542" s="4"/>
      <c r="AQ1542" s="3"/>
      <c r="AR1542" s="4"/>
      <c r="AS1542" s="4"/>
      <c r="AT1542" s="4"/>
      <c r="AU1542" s="4"/>
      <c r="AV1542" s="4"/>
      <c r="AW1542" s="4"/>
      <c r="AX1542" s="4"/>
      <c r="AY1542" s="4"/>
      <c r="AZ1542" s="4"/>
      <c r="BA1542" s="4"/>
      <c r="BB1542" s="3"/>
      <c r="BC1542" s="3"/>
      <c r="BD1542" s="3"/>
      <c r="BE1542" s="4"/>
      <c r="BF1542" s="3"/>
      <c r="BG1542" s="4"/>
      <c r="BH1542" s="4"/>
      <c r="BI1542" s="3"/>
      <c r="BJ1542" s="4"/>
      <c r="BK1542" s="4"/>
      <c r="BL1542" s="4"/>
      <c r="BM1542" s="4"/>
      <c r="BN1542" s="4"/>
      <c r="BO1542" s="4"/>
      <c r="BP1542" s="4"/>
      <c r="BQ1542" s="4"/>
      <c r="BR1542" s="4"/>
      <c r="BS1542" s="4"/>
      <c r="BT1542" s="4"/>
      <c r="BU1542" s="4"/>
      <c r="BV1542" s="4"/>
      <c r="BW1542" s="4"/>
      <c r="BX1542" s="4"/>
      <c r="BY1542" s="4"/>
      <c r="BZ1542" s="4"/>
      <c r="CA1542" s="4"/>
      <c r="CB1542" s="3"/>
      <c r="CC1542" s="3"/>
      <c r="CD1542" s="4"/>
      <c r="CE1542" s="4"/>
      <c r="CF1542" s="4"/>
      <c r="CG1542" s="4"/>
      <c r="CH1542" s="4"/>
      <c r="CI1542" s="4"/>
      <c r="CJ1542" s="4"/>
      <c r="CK1542" s="4"/>
      <c r="CL1542" s="4"/>
      <c r="CM1542" s="4"/>
      <c r="CN1542" s="4"/>
      <c r="CO1542" s="4"/>
      <c r="CP1542" s="4"/>
      <c r="CQ1542" s="4"/>
      <c r="CR1542" s="4"/>
      <c r="CS1542" s="4"/>
      <c r="CT1542" s="4"/>
      <c r="CU1542" s="4"/>
      <c r="CV1542" s="4"/>
      <c r="CW1542" s="4"/>
      <c r="CX1542" s="4"/>
      <c r="CY1542" s="4"/>
      <c r="CZ1542" s="4"/>
      <c r="DA1542" s="4"/>
      <c r="DB1542" s="4"/>
      <c r="DC1542" s="4"/>
      <c r="DD1542" s="4"/>
      <c r="DE1542" s="4"/>
      <c r="DF1542" s="4"/>
      <c r="DG1542" s="4"/>
      <c r="DH1542" s="4"/>
      <c r="DI1542" s="4"/>
      <c r="DJ1542" s="4"/>
      <c r="DK1542" s="4"/>
      <c r="DL1542" s="4"/>
      <c r="DM1542" s="4"/>
      <c r="DN1542" s="4"/>
      <c r="DO1542" s="4"/>
    </row>
    <row r="1543" spans="1:149" hidden="1">
      <c r="A1543" s="11" t="s">
        <v>9940</v>
      </c>
      <c r="B1543" s="3" t="s">
        <v>8373</v>
      </c>
      <c r="C1543" s="3">
        <v>1970</v>
      </c>
      <c r="D1543" s="3" t="s">
        <v>9096</v>
      </c>
      <c r="E1543" s="3" t="s">
        <v>9097</v>
      </c>
      <c r="F1543" s="3">
        <v>1</v>
      </c>
      <c r="G1543" s="3"/>
      <c r="H1543" s="3" t="s">
        <v>9100</v>
      </c>
      <c r="I1543" s="3"/>
      <c r="J1543" s="3"/>
      <c r="K1543" s="3" t="s">
        <v>802</v>
      </c>
      <c r="L1543" s="4"/>
      <c r="M1543" s="3" t="s">
        <v>8791</v>
      </c>
      <c r="T1543" s="3" t="s">
        <v>9098</v>
      </c>
      <c r="V1543" s="3"/>
      <c r="W1543" s="4"/>
      <c r="X1543" s="5" t="s">
        <v>9099</v>
      </c>
      <c r="Y1543" s="5"/>
      <c r="Z1543" s="3">
        <v>1</v>
      </c>
      <c r="AA1543" s="4"/>
      <c r="AB1543" s="4"/>
      <c r="AE1543" s="3"/>
      <c r="AF1543" s="3"/>
      <c r="AG1543" s="4"/>
      <c r="AH1543" s="4"/>
      <c r="AI1543" s="4"/>
      <c r="AJ1543" s="4"/>
      <c r="AK1543" s="3"/>
      <c r="AL1543" s="3"/>
      <c r="AM1543" s="3"/>
      <c r="AN1543" s="3"/>
      <c r="AO1543" s="4"/>
      <c r="AP1543" s="3"/>
      <c r="AQ1543" s="4"/>
      <c r="AR1543" s="3"/>
      <c r="AS1543" s="3"/>
      <c r="AT1543" s="4"/>
      <c r="AU1543" s="3"/>
      <c r="AV1543" s="4"/>
      <c r="AW1543" s="4"/>
      <c r="AX1543" s="4"/>
      <c r="AY1543" s="4"/>
      <c r="AZ1543" s="4"/>
      <c r="BA1543" s="4"/>
      <c r="BB1543" s="4"/>
      <c r="BC1543" s="4"/>
      <c r="BD1543" s="4"/>
      <c r="BE1543" s="4"/>
      <c r="BF1543" s="3"/>
      <c r="BG1543" s="3"/>
      <c r="BH1543" s="3"/>
      <c r="BI1543" s="4"/>
      <c r="BJ1543" s="3"/>
      <c r="BK1543" s="4"/>
      <c r="BL1543" s="4"/>
      <c r="BM1543" s="3"/>
      <c r="BN1543" s="4"/>
      <c r="BO1543" s="4"/>
      <c r="BP1543" s="4"/>
      <c r="BQ1543" s="4"/>
      <c r="BR1543" s="4"/>
      <c r="BS1543" s="4"/>
      <c r="BT1543" s="4"/>
      <c r="BU1543" s="4"/>
      <c r="BV1543" s="4"/>
      <c r="BW1543" s="4"/>
      <c r="BX1543" s="4"/>
      <c r="BY1543" s="4"/>
      <c r="BZ1543" s="4"/>
      <c r="CA1543" s="4"/>
      <c r="CB1543" s="4"/>
      <c r="CC1543" s="4"/>
      <c r="CD1543" s="4"/>
      <c r="CE1543" s="4"/>
      <c r="CF1543" s="4"/>
      <c r="CG1543" s="4"/>
      <c r="CH1543" s="4"/>
      <c r="CI1543" s="4"/>
      <c r="CJ1543" s="4"/>
      <c r="CK1543" s="4"/>
      <c r="CL1543" s="4"/>
      <c r="CM1543" s="4"/>
      <c r="CN1543" s="4"/>
      <c r="CO1543" s="4"/>
      <c r="CP1543" s="4"/>
      <c r="CQ1543" s="4"/>
      <c r="CR1543" s="4"/>
      <c r="CS1543" s="3"/>
      <c r="CT1543" s="3"/>
      <c r="CU1543" s="8"/>
      <c r="CV1543" s="4"/>
      <c r="CW1543" s="4"/>
      <c r="CX1543" s="4"/>
      <c r="CY1543" s="4"/>
      <c r="CZ1543" s="8"/>
      <c r="DA1543" s="8"/>
      <c r="DB1543" s="8"/>
      <c r="DC1543" s="8"/>
      <c r="DD1543" s="4"/>
      <c r="DE1543" s="4"/>
      <c r="DF1543" s="4"/>
      <c r="DG1543" s="4"/>
      <c r="DH1543" s="4"/>
      <c r="DI1543" s="4"/>
      <c r="DJ1543" s="4"/>
      <c r="DK1543" s="4"/>
      <c r="DL1543" s="4"/>
      <c r="DM1543" s="4"/>
      <c r="DN1543" s="4"/>
      <c r="DO1543" s="4"/>
      <c r="DP1543" s="4"/>
      <c r="DQ1543" s="4"/>
      <c r="DR1543" s="4"/>
      <c r="DS1543" s="4"/>
      <c r="DT1543" s="4"/>
      <c r="DU1543" s="4"/>
      <c r="DV1543" s="4"/>
      <c r="DW1543" s="4"/>
      <c r="DX1543" s="8"/>
      <c r="DY1543" s="8"/>
      <c r="DZ1543" s="8"/>
      <c r="EA1543" s="8"/>
      <c r="EB1543" s="8"/>
      <c r="EC1543" s="8"/>
      <c r="ED1543" s="4"/>
      <c r="EE1543" s="4"/>
      <c r="EF1543" s="4"/>
    </row>
    <row r="1544" spans="1:149" hidden="1">
      <c r="A1544" s="11" t="s">
        <v>9940</v>
      </c>
      <c r="B1544" s="3" t="s">
        <v>8373</v>
      </c>
      <c r="C1544" s="3">
        <v>2003</v>
      </c>
      <c r="D1544" s="3" t="s">
        <v>5789</v>
      </c>
      <c r="E1544" s="3" t="s">
        <v>9800</v>
      </c>
      <c r="F1544" s="3">
        <v>1</v>
      </c>
      <c r="G1544" s="3"/>
      <c r="H1544" s="3" t="s">
        <v>9801</v>
      </c>
      <c r="I1544" s="3"/>
      <c r="J1544" s="3"/>
      <c r="K1544" s="3" t="s">
        <v>140</v>
      </c>
      <c r="L1544" s="4"/>
      <c r="M1544" s="3" t="s">
        <v>8898</v>
      </c>
      <c r="T1544" s="3" t="s">
        <v>5791</v>
      </c>
      <c r="V1544" s="3"/>
      <c r="W1544" s="3"/>
      <c r="X1544" s="5" t="s">
        <v>5794</v>
      </c>
      <c r="Y1544" s="5"/>
      <c r="Z1544" s="3">
        <v>0</v>
      </c>
      <c r="AA1544" s="3" t="s">
        <v>9178</v>
      </c>
      <c r="AB1544" s="4"/>
      <c r="AE1544" s="3"/>
      <c r="AF1544" s="4"/>
      <c r="AG1544" s="4"/>
      <c r="AH1544" s="4"/>
      <c r="AI1544" s="4"/>
      <c r="AJ1544" s="4"/>
      <c r="AK1544" s="3"/>
      <c r="AL1544" s="3"/>
      <c r="AM1544" s="3"/>
      <c r="AN1544" s="3"/>
      <c r="AO1544" s="4"/>
      <c r="AP1544" s="3"/>
      <c r="AQ1544" s="4"/>
      <c r="AR1544" s="3"/>
      <c r="AS1544" s="3"/>
      <c r="AT1544" s="4"/>
      <c r="AU1544" s="3"/>
      <c r="AV1544" s="4"/>
      <c r="AW1544" s="4"/>
      <c r="AX1544" s="4"/>
      <c r="AY1544" s="4"/>
      <c r="AZ1544" s="4"/>
      <c r="BA1544" s="4"/>
      <c r="BB1544" s="4"/>
      <c r="BC1544" s="4"/>
      <c r="BD1544" s="4"/>
      <c r="BE1544" s="4"/>
      <c r="BF1544" s="3"/>
      <c r="BG1544" s="3"/>
      <c r="BH1544" s="3"/>
      <c r="BI1544" s="4"/>
      <c r="BJ1544" s="3"/>
      <c r="BK1544" s="4"/>
      <c r="BL1544" s="4"/>
      <c r="BM1544" s="3"/>
      <c r="BN1544" s="4"/>
      <c r="BO1544" s="4"/>
      <c r="BP1544" s="4"/>
      <c r="BQ1544" s="4"/>
      <c r="BR1544" s="4"/>
      <c r="BS1544" s="4"/>
      <c r="BT1544" s="4"/>
      <c r="BU1544" s="4"/>
      <c r="BV1544" s="4"/>
      <c r="BW1544" s="4"/>
      <c r="BX1544" s="4"/>
      <c r="BY1544" s="4"/>
      <c r="BZ1544" s="3"/>
      <c r="CA1544" s="3"/>
      <c r="CB1544" s="4"/>
      <c r="CC1544" s="4"/>
      <c r="CD1544" s="4"/>
      <c r="CE1544" s="4"/>
      <c r="CF1544" s="4"/>
      <c r="CG1544" s="4"/>
      <c r="CH1544" s="4"/>
      <c r="CI1544" s="4"/>
      <c r="CJ1544" s="4"/>
      <c r="CK1544" s="4"/>
      <c r="CL1544" s="4"/>
      <c r="CM1544" s="4"/>
      <c r="CN1544" s="4"/>
      <c r="CO1544" s="4"/>
      <c r="CP1544" s="4"/>
      <c r="CQ1544" s="4"/>
      <c r="CR1544" s="4"/>
      <c r="CS1544" s="4"/>
      <c r="CT1544" s="4"/>
      <c r="CU1544" s="4"/>
      <c r="CV1544" s="4"/>
      <c r="CW1544" s="4"/>
      <c r="CX1544" s="4"/>
      <c r="CY1544" s="4"/>
      <c r="CZ1544" s="4"/>
      <c r="DA1544" s="4"/>
      <c r="DB1544" s="4"/>
      <c r="DC1544" s="4"/>
      <c r="DD1544" s="4"/>
      <c r="DE1544" s="4"/>
      <c r="DF1544" s="4"/>
      <c r="DG1544" s="4"/>
      <c r="DH1544" s="4"/>
      <c r="DI1544" s="4"/>
      <c r="DJ1544" s="4"/>
      <c r="DK1544" s="4"/>
      <c r="DL1544" s="4"/>
      <c r="DM1544" s="4"/>
    </row>
    <row r="1545" spans="1:149" hidden="1">
      <c r="A1545" s="11" t="s">
        <v>9940</v>
      </c>
      <c r="B1545" s="3" t="s">
        <v>8373</v>
      </c>
      <c r="C1545" s="3">
        <v>1989</v>
      </c>
      <c r="D1545" s="3" t="s">
        <v>9802</v>
      </c>
      <c r="E1545" s="3" t="s">
        <v>9803</v>
      </c>
      <c r="F1545" s="3">
        <v>0</v>
      </c>
      <c r="G1545" s="3" t="s">
        <v>9237</v>
      </c>
      <c r="H1545" s="3" t="s">
        <v>9806</v>
      </c>
      <c r="I1545" s="3"/>
      <c r="J1545" s="3"/>
      <c r="K1545" s="3" t="s">
        <v>370</v>
      </c>
      <c r="L1545" s="4"/>
      <c r="M1545" s="3" t="s">
        <v>8582</v>
      </c>
      <c r="T1545" s="3" t="s">
        <v>9804</v>
      </c>
      <c r="V1545" s="4"/>
      <c r="W1545" s="4"/>
      <c r="X1545" s="5" t="s">
        <v>9805</v>
      </c>
      <c r="Y1545" s="5"/>
      <c r="Z1545" s="4"/>
      <c r="AA1545" s="4"/>
      <c r="AB1545" s="4"/>
      <c r="AE1545" s="4"/>
      <c r="AF1545" s="4"/>
      <c r="AG1545" s="3"/>
      <c r="AH1545" s="3"/>
      <c r="AI1545" s="3"/>
      <c r="AJ1545" s="3"/>
      <c r="AK1545" s="4"/>
      <c r="AL1545" s="3"/>
      <c r="AM1545" s="4"/>
      <c r="AN1545" s="3"/>
      <c r="AO1545" s="3"/>
      <c r="AP1545" s="4"/>
      <c r="AQ1545" s="3"/>
      <c r="AR1545" s="4"/>
      <c r="AS1545" s="4"/>
      <c r="AT1545" s="4"/>
      <c r="AU1545" s="4"/>
      <c r="AV1545" s="4"/>
      <c r="AW1545" s="4"/>
      <c r="AX1545" s="4"/>
      <c r="AY1545" s="4"/>
      <c r="AZ1545" s="4"/>
      <c r="BA1545" s="4"/>
      <c r="BB1545" s="3"/>
      <c r="BC1545" s="3"/>
      <c r="BD1545" s="3"/>
      <c r="BE1545" s="4"/>
      <c r="BF1545" s="3"/>
      <c r="BG1545" s="4"/>
      <c r="BH1545" s="4"/>
      <c r="BI1545" s="3"/>
      <c r="BJ1545" s="4"/>
      <c r="BK1545" s="4"/>
      <c r="BL1545" s="4"/>
      <c r="BM1545" s="4"/>
      <c r="BN1545" s="4"/>
      <c r="BO1545" s="4"/>
      <c r="BP1545" s="4"/>
      <c r="BQ1545" s="4"/>
      <c r="BR1545" s="4"/>
      <c r="BS1545" s="4"/>
      <c r="BT1545" s="4"/>
      <c r="BU1545" s="4"/>
      <c r="BV1545" s="4"/>
      <c r="BW1545" s="4"/>
      <c r="BX1545" s="4"/>
      <c r="BY1545" s="4"/>
      <c r="BZ1545" s="4"/>
      <c r="CA1545" s="4"/>
      <c r="CB1545" s="4"/>
      <c r="CC1545" s="4"/>
      <c r="CD1545" s="4"/>
      <c r="CE1545" s="4"/>
      <c r="CF1545" s="4"/>
      <c r="CG1545" s="4"/>
      <c r="CH1545" s="4"/>
      <c r="CI1545" s="4"/>
      <c r="CJ1545" s="4"/>
      <c r="CK1545" s="4"/>
      <c r="CL1545" s="4"/>
      <c r="CM1545" s="4"/>
      <c r="CN1545" s="4"/>
      <c r="CO1545" s="4"/>
      <c r="CP1545" s="4"/>
      <c r="CQ1545" s="4"/>
      <c r="CR1545" s="4"/>
      <c r="CS1545" s="3"/>
      <c r="CT1545" s="3"/>
      <c r="CU1545" s="4"/>
      <c r="CV1545" s="4"/>
      <c r="CW1545" s="4"/>
      <c r="CX1545" s="4"/>
      <c r="CY1545" s="4"/>
      <c r="CZ1545" s="4"/>
      <c r="DA1545" s="4"/>
      <c r="DB1545" s="4"/>
      <c r="DC1545" s="4"/>
      <c r="DD1545" s="4"/>
      <c r="DE1545" s="4"/>
      <c r="DF1545" s="4"/>
      <c r="DG1545" s="4"/>
      <c r="DH1545" s="4"/>
      <c r="DI1545" s="4"/>
      <c r="DJ1545" s="4"/>
      <c r="DK1545" s="4"/>
      <c r="DL1545" s="4"/>
      <c r="DM1545" s="4"/>
      <c r="DN1545" s="4"/>
      <c r="DO1545" s="4"/>
      <c r="DP1545" s="4"/>
      <c r="DQ1545" s="4"/>
      <c r="DR1545" s="4"/>
      <c r="DS1545" s="4"/>
      <c r="DT1545" s="4"/>
      <c r="DU1545" s="4"/>
      <c r="DV1545" s="4"/>
      <c r="DW1545" s="4"/>
      <c r="DX1545" s="4"/>
      <c r="DY1545" s="4"/>
      <c r="DZ1545" s="4"/>
      <c r="EA1545" s="4"/>
      <c r="EB1545" s="4"/>
      <c r="EC1545" s="4"/>
      <c r="ED1545" s="4"/>
      <c r="EE1545" s="4"/>
      <c r="EF1545" s="4"/>
    </row>
    <row r="1546" spans="1:149" hidden="1">
      <c r="A1546" s="11" t="s">
        <v>9940</v>
      </c>
      <c r="B1546" s="3" t="s">
        <v>8373</v>
      </c>
      <c r="C1546" s="3">
        <v>2012</v>
      </c>
      <c r="D1546" s="3" t="s">
        <v>6636</v>
      </c>
      <c r="E1546" s="3" t="s">
        <v>9807</v>
      </c>
      <c r="F1546" s="3">
        <v>1</v>
      </c>
      <c r="G1546" s="3"/>
      <c r="H1546" s="3" t="s">
        <v>9809</v>
      </c>
      <c r="I1546" s="3"/>
      <c r="J1546" s="3"/>
      <c r="K1546" s="3" t="s">
        <v>6637</v>
      </c>
      <c r="L1546" s="4"/>
      <c r="M1546" s="3" t="s">
        <v>9808</v>
      </c>
      <c r="T1546" s="3" t="s">
        <v>6639</v>
      </c>
      <c r="V1546" s="3"/>
      <c r="W1546" s="3"/>
      <c r="X1546" s="5" t="s">
        <v>6642</v>
      </c>
      <c r="Y1546" s="5"/>
      <c r="Z1546" s="3">
        <v>0</v>
      </c>
      <c r="AA1546" s="3" t="s">
        <v>9178</v>
      </c>
      <c r="AB1546" s="4"/>
      <c r="AE1546" s="3"/>
      <c r="AF1546" s="4"/>
      <c r="AG1546" s="4"/>
      <c r="AH1546" s="4"/>
      <c r="AI1546" s="4"/>
      <c r="AJ1546" s="4"/>
      <c r="AK1546" s="3"/>
      <c r="AL1546" s="3"/>
      <c r="AM1546" s="3"/>
      <c r="AN1546" s="3"/>
      <c r="AO1546" s="4"/>
      <c r="AP1546" s="3"/>
      <c r="AQ1546" s="4"/>
      <c r="AR1546" s="3"/>
      <c r="AS1546" s="3"/>
      <c r="AT1546" s="4"/>
      <c r="AU1546" s="3"/>
      <c r="AV1546" s="4"/>
      <c r="AW1546" s="4"/>
      <c r="AX1546" s="4"/>
      <c r="AY1546" s="4"/>
      <c r="AZ1546" s="4"/>
      <c r="BA1546" s="4"/>
      <c r="BB1546" s="4"/>
      <c r="BC1546" s="4"/>
      <c r="BD1546" s="4"/>
      <c r="BE1546" s="4"/>
      <c r="BF1546" s="3"/>
      <c r="BG1546" s="3"/>
      <c r="BH1546" s="3"/>
      <c r="BI1546" s="4"/>
      <c r="BJ1546" s="3"/>
      <c r="BK1546" s="4"/>
      <c r="BL1546" s="3"/>
      <c r="BM1546" s="4"/>
      <c r="BN1546" s="4"/>
      <c r="BO1546" s="4"/>
      <c r="BP1546" s="4"/>
      <c r="BQ1546" s="4"/>
      <c r="BR1546" s="4"/>
      <c r="BS1546" s="4"/>
      <c r="BT1546" s="4"/>
      <c r="BU1546" s="4"/>
      <c r="BV1546" s="4"/>
      <c r="BW1546" s="4"/>
      <c r="BX1546" s="4"/>
      <c r="BY1546" s="4"/>
      <c r="BZ1546" s="4"/>
      <c r="CA1546" s="4"/>
      <c r="CB1546" s="4"/>
      <c r="CC1546" s="4"/>
      <c r="CD1546" s="4"/>
      <c r="CE1546" s="4"/>
      <c r="CF1546" s="4"/>
      <c r="CG1546" s="4"/>
      <c r="CH1546" s="4"/>
      <c r="CI1546" s="4"/>
      <c r="CJ1546" s="4"/>
      <c r="CK1546" s="4"/>
      <c r="CL1546" s="4"/>
      <c r="CM1546" s="4"/>
      <c r="CN1546" s="4"/>
      <c r="CO1546" s="4"/>
      <c r="CP1546" s="4"/>
      <c r="CQ1546" s="4"/>
      <c r="CR1546" s="4"/>
      <c r="CS1546" s="4"/>
      <c r="CT1546" s="4"/>
      <c r="CU1546" s="4"/>
      <c r="CV1546" s="4"/>
      <c r="CW1546" s="4"/>
      <c r="CX1546" s="4"/>
      <c r="CY1546" s="4"/>
      <c r="CZ1546" s="4"/>
      <c r="DA1546" s="4"/>
      <c r="DB1546" s="4"/>
      <c r="DC1546" s="3"/>
      <c r="DD1546" s="3"/>
      <c r="DE1546" s="4"/>
      <c r="DF1546" s="4"/>
      <c r="DG1546" s="4"/>
      <c r="DH1546" s="4"/>
      <c r="DI1546" s="4"/>
      <c r="DJ1546" s="4"/>
      <c r="DK1546" s="4"/>
      <c r="DL1546" s="4"/>
      <c r="DM1546" s="4"/>
      <c r="DN1546" s="4"/>
      <c r="DO1546" s="4"/>
      <c r="DP1546" s="4"/>
      <c r="DQ1546" s="4"/>
      <c r="DR1546" s="4"/>
      <c r="DS1546" s="4"/>
      <c r="DT1546" s="4"/>
      <c r="DU1546" s="4"/>
      <c r="DV1546" s="4"/>
      <c r="DW1546" s="4"/>
      <c r="DX1546" s="4"/>
      <c r="DY1546" s="4"/>
      <c r="DZ1546" s="4"/>
      <c r="EA1546" s="4"/>
      <c r="EB1546" s="4"/>
      <c r="EC1546" s="4"/>
      <c r="ED1546" s="4"/>
      <c r="EE1546" s="4"/>
      <c r="EF1546" s="4"/>
      <c r="EG1546" s="4"/>
      <c r="EH1546" s="4"/>
      <c r="EI1546" s="4"/>
      <c r="EJ1546" s="4"/>
      <c r="EK1546" s="4"/>
      <c r="EL1546" s="4"/>
      <c r="EM1546" s="4"/>
      <c r="EN1546" s="4"/>
      <c r="EO1546" s="4"/>
      <c r="EP1546" s="4"/>
    </row>
    <row r="1547" spans="1:149" hidden="1">
      <c r="A1547" s="11" t="s">
        <v>9940</v>
      </c>
      <c r="B1547" s="3" t="s">
        <v>8373</v>
      </c>
      <c r="C1547" s="3">
        <v>1979</v>
      </c>
      <c r="D1547" s="3" t="s">
        <v>9101</v>
      </c>
      <c r="E1547" s="3" t="s">
        <v>9102</v>
      </c>
      <c r="F1547" s="3">
        <v>1</v>
      </c>
      <c r="G1547" s="3"/>
      <c r="H1547" s="3" t="s">
        <v>9105</v>
      </c>
      <c r="I1547" s="3"/>
      <c r="J1547" s="3"/>
      <c r="K1547" s="3" t="s">
        <v>8831</v>
      </c>
      <c r="L1547" s="4"/>
      <c r="M1547" s="3" t="s">
        <v>8832</v>
      </c>
      <c r="T1547" s="3" t="s">
        <v>9103</v>
      </c>
      <c r="V1547" s="3"/>
      <c r="W1547" s="4"/>
      <c r="X1547" s="5" t="s">
        <v>9104</v>
      </c>
      <c r="Y1547" s="5"/>
      <c r="Z1547" s="3">
        <v>1</v>
      </c>
      <c r="AA1547" s="4"/>
      <c r="AB1547" s="3"/>
      <c r="AE1547" s="3"/>
      <c r="AF1547" s="3"/>
      <c r="AG1547" s="4"/>
      <c r="AH1547" s="4"/>
      <c r="AI1547" s="4"/>
      <c r="AJ1547" s="4"/>
      <c r="AK1547" s="3"/>
      <c r="AL1547" s="3"/>
      <c r="AM1547" s="3"/>
      <c r="AN1547" s="3"/>
      <c r="AO1547" s="4"/>
      <c r="AP1547" s="3"/>
      <c r="AQ1547" s="4"/>
      <c r="AR1547" s="3"/>
      <c r="AS1547" s="3"/>
      <c r="AT1547" s="4"/>
      <c r="AU1547" s="3"/>
      <c r="AV1547" s="4"/>
      <c r="AW1547" s="4"/>
      <c r="AX1547" s="4"/>
      <c r="AY1547" s="4"/>
      <c r="AZ1547" s="4"/>
      <c r="BA1547" s="4"/>
      <c r="BB1547" s="4"/>
      <c r="BC1547" s="4"/>
      <c r="BD1547" s="4"/>
      <c r="BE1547" s="4"/>
      <c r="BF1547" s="3"/>
      <c r="BG1547" s="3"/>
      <c r="BH1547" s="3"/>
      <c r="BI1547" s="4"/>
      <c r="BJ1547" s="3"/>
      <c r="BK1547" s="4"/>
      <c r="BL1547" s="4"/>
      <c r="BM1547" s="3"/>
      <c r="BN1547" s="4"/>
      <c r="BO1547" s="4"/>
      <c r="BP1547" s="4"/>
      <c r="BQ1547" s="4"/>
      <c r="BR1547" s="4"/>
      <c r="BS1547" s="4"/>
      <c r="BT1547" s="4"/>
      <c r="BU1547" s="4"/>
      <c r="BV1547" s="4"/>
      <c r="BW1547" s="4"/>
      <c r="BX1547" s="4"/>
      <c r="BY1547" s="4"/>
      <c r="BZ1547" s="4"/>
      <c r="CA1547" s="4"/>
      <c r="CB1547" s="4"/>
      <c r="CC1547" s="4"/>
      <c r="CD1547" s="4"/>
      <c r="CE1547" s="4"/>
      <c r="CF1547" s="4"/>
      <c r="CG1547" s="4"/>
      <c r="CH1547" s="4"/>
      <c r="CI1547" s="4"/>
      <c r="CJ1547" s="4"/>
      <c r="CK1547" s="4"/>
      <c r="CL1547" s="4"/>
      <c r="CM1547" s="4"/>
      <c r="CN1547" s="4"/>
      <c r="CO1547" s="4"/>
      <c r="CP1547" s="4"/>
      <c r="CQ1547" s="4"/>
      <c r="CR1547" s="4"/>
      <c r="CS1547" s="4"/>
      <c r="CT1547" s="4"/>
      <c r="CU1547" s="4"/>
      <c r="CV1547" s="4"/>
      <c r="CW1547" s="4"/>
      <c r="CX1547" s="4"/>
      <c r="CY1547" s="4"/>
      <c r="CZ1547" s="4"/>
      <c r="DA1547" s="4"/>
      <c r="DB1547" s="4"/>
      <c r="DC1547" s="4"/>
      <c r="DD1547" s="4"/>
      <c r="DE1547" s="3"/>
      <c r="DF1547" s="3"/>
      <c r="DG1547" s="8"/>
      <c r="DH1547" s="4"/>
      <c r="DI1547" s="4"/>
      <c r="DJ1547" s="4"/>
      <c r="DK1547" s="4"/>
      <c r="DL1547" s="8"/>
      <c r="DM1547" s="8"/>
      <c r="DN1547" s="8"/>
      <c r="DO1547" s="8"/>
      <c r="DP1547" s="4"/>
      <c r="DQ1547" s="4"/>
      <c r="DR1547" s="4"/>
      <c r="DS1547" s="4"/>
      <c r="DT1547" s="4"/>
      <c r="DU1547" s="4"/>
      <c r="DV1547" s="4"/>
      <c r="DW1547" s="4"/>
      <c r="DX1547" s="4"/>
      <c r="DY1547" s="4"/>
      <c r="DZ1547" s="4"/>
      <c r="EA1547" s="4"/>
      <c r="EB1547" s="4"/>
      <c r="EC1547" s="4"/>
      <c r="ED1547" s="4"/>
      <c r="EE1547" s="4"/>
      <c r="EF1547" s="4"/>
      <c r="EG1547" s="4"/>
      <c r="EH1547" s="4"/>
      <c r="EI1547" s="4"/>
      <c r="EJ1547" s="8"/>
      <c r="EK1547" s="8"/>
      <c r="EL1547" s="8"/>
      <c r="EM1547" s="8"/>
      <c r="EN1547" s="8"/>
      <c r="EO1547" s="8"/>
      <c r="EP1547" s="4"/>
      <c r="EQ1547" s="4"/>
      <c r="ER1547" s="4"/>
    </row>
    <row r="1548" spans="1:149" hidden="1">
      <c r="A1548" s="11" t="s">
        <v>9940</v>
      </c>
      <c r="B1548" s="3" t="s">
        <v>8373</v>
      </c>
      <c r="C1548" s="3">
        <v>1984</v>
      </c>
      <c r="D1548" s="3" t="s">
        <v>9106</v>
      </c>
      <c r="E1548" s="3" t="s">
        <v>9107</v>
      </c>
      <c r="F1548" s="3">
        <v>1</v>
      </c>
      <c r="G1548" s="3"/>
      <c r="H1548" s="3" t="s">
        <v>9111</v>
      </c>
      <c r="I1548" s="3"/>
      <c r="J1548" s="3"/>
      <c r="K1548" s="3" t="s">
        <v>9108</v>
      </c>
      <c r="L1548" s="4"/>
      <c r="M1548" s="3" t="s">
        <v>9109</v>
      </c>
      <c r="T1548" s="4"/>
      <c r="V1548" s="3"/>
      <c r="W1548" s="3"/>
      <c r="X1548" s="5" t="s">
        <v>9110</v>
      </c>
      <c r="Y1548" s="5"/>
      <c r="Z1548" s="3">
        <v>1</v>
      </c>
      <c r="AA1548" s="4"/>
      <c r="AB1548" s="4"/>
      <c r="AE1548" s="3"/>
      <c r="AF1548" s="3"/>
      <c r="AG1548" s="4"/>
      <c r="AH1548" s="4"/>
      <c r="AI1548" s="3"/>
      <c r="AJ1548" s="3"/>
      <c r="AK1548" s="3"/>
      <c r="AL1548" s="3"/>
      <c r="AM1548" s="3"/>
      <c r="AN1548" s="3"/>
      <c r="AO1548" s="4"/>
      <c r="AP1548" s="3"/>
      <c r="AQ1548" s="4"/>
      <c r="AR1548" s="3"/>
      <c r="AS1548" s="3"/>
      <c r="AT1548" s="4"/>
      <c r="AU1548" s="3"/>
      <c r="AV1548" s="4"/>
      <c r="AW1548" s="4"/>
      <c r="AX1548" s="4"/>
      <c r="AY1548" s="4"/>
      <c r="AZ1548" s="4"/>
      <c r="BA1548" s="4"/>
      <c r="BB1548" s="4"/>
      <c r="BC1548" s="4"/>
      <c r="BD1548" s="4"/>
      <c r="BE1548" s="4"/>
      <c r="BF1548" s="3"/>
      <c r="BG1548" s="3"/>
      <c r="BH1548" s="3"/>
      <c r="BI1548" s="4"/>
      <c r="BJ1548" s="3"/>
      <c r="BK1548" s="4"/>
      <c r="BL1548" s="4"/>
      <c r="BM1548" s="3"/>
      <c r="BN1548" s="4"/>
      <c r="BO1548" s="4"/>
      <c r="BP1548" s="4"/>
      <c r="BQ1548" s="4"/>
      <c r="BR1548" s="4"/>
      <c r="BS1548" s="4"/>
      <c r="BT1548" s="4"/>
      <c r="BU1548" s="4"/>
      <c r="BV1548" s="4"/>
      <c r="BW1548" s="4"/>
      <c r="BX1548" s="4"/>
      <c r="BY1548" s="4"/>
      <c r="BZ1548" s="4"/>
      <c r="CA1548" s="4"/>
      <c r="CB1548" s="4"/>
      <c r="CC1548" s="4"/>
      <c r="CD1548" s="4"/>
      <c r="CE1548" s="4"/>
      <c r="CF1548" s="4"/>
      <c r="CG1548" s="4"/>
      <c r="CH1548" s="4"/>
      <c r="CI1548" s="4"/>
      <c r="CJ1548" s="4"/>
      <c r="CK1548" s="4"/>
      <c r="CL1548" s="4"/>
      <c r="CM1548" s="4"/>
      <c r="CN1548" s="4"/>
      <c r="CO1548" s="4"/>
      <c r="CP1548" s="4"/>
      <c r="CQ1548" s="4"/>
      <c r="CR1548" s="4"/>
      <c r="CS1548" s="4"/>
      <c r="CT1548" s="4"/>
      <c r="CU1548" s="4"/>
      <c r="CV1548" s="3"/>
      <c r="CW1548" s="3"/>
      <c r="CX1548" s="6"/>
      <c r="CY1548" s="4"/>
      <c r="CZ1548" s="4"/>
      <c r="DA1548" s="4"/>
      <c r="DB1548" s="4"/>
      <c r="DC1548" s="4"/>
      <c r="DD1548" s="4"/>
      <c r="DE1548" s="4"/>
      <c r="DF1548" s="4"/>
      <c r="DG1548" s="4"/>
      <c r="DH1548" s="4"/>
      <c r="DI1548" s="4"/>
      <c r="DJ1548" s="4"/>
      <c r="DK1548" s="8"/>
      <c r="DL1548" s="4"/>
      <c r="DM1548" s="4"/>
      <c r="DN1548" s="4"/>
      <c r="DO1548" s="4"/>
      <c r="DP1548" s="4"/>
      <c r="DQ1548" s="4"/>
      <c r="DR1548" s="4"/>
      <c r="DS1548" s="4"/>
      <c r="DT1548" s="4"/>
      <c r="DU1548" s="4"/>
      <c r="DV1548" s="4"/>
      <c r="DW1548" s="4"/>
      <c r="DX1548" s="4"/>
      <c r="DY1548" s="4"/>
      <c r="DZ1548" s="4"/>
      <c r="EA1548" s="4"/>
      <c r="EB1548" s="4"/>
      <c r="EC1548" s="4"/>
      <c r="ED1548" s="4"/>
      <c r="EE1548" s="4"/>
      <c r="EF1548" s="4"/>
      <c r="EG1548" s="4"/>
      <c r="EH1548" s="4"/>
      <c r="EI1548" s="4"/>
    </row>
    <row r="1549" spans="1:149" hidden="1">
      <c r="A1549" s="11" t="s">
        <v>9940</v>
      </c>
      <c r="B1549" s="3" t="s">
        <v>8373</v>
      </c>
      <c r="C1549" s="3">
        <v>2013</v>
      </c>
      <c r="D1549" s="3" t="s">
        <v>2437</v>
      </c>
      <c r="E1549" s="3" t="s">
        <v>9810</v>
      </c>
      <c r="F1549" s="3">
        <v>1</v>
      </c>
      <c r="G1549" s="3"/>
      <c r="H1549" s="3" t="s">
        <v>9811</v>
      </c>
      <c r="I1549" s="3"/>
      <c r="J1549" s="3"/>
      <c r="K1549" s="3" t="s">
        <v>252</v>
      </c>
      <c r="L1549" s="4"/>
      <c r="M1549" s="3" t="s">
        <v>8427</v>
      </c>
      <c r="T1549" s="3" t="s">
        <v>2439</v>
      </c>
      <c r="V1549" s="3"/>
      <c r="W1549" s="3"/>
      <c r="X1549" s="5" t="s">
        <v>2442</v>
      </c>
      <c r="Y1549" s="5"/>
      <c r="Z1549" s="3">
        <v>0</v>
      </c>
      <c r="AA1549" s="3" t="s">
        <v>9249</v>
      </c>
      <c r="AB1549" s="3"/>
      <c r="AE1549" s="3"/>
      <c r="AF1549" s="4"/>
      <c r="AG1549" s="4"/>
      <c r="AH1549" s="4"/>
      <c r="AI1549" s="4"/>
      <c r="AJ1549" s="4"/>
      <c r="AK1549" s="3"/>
      <c r="AL1549" s="3"/>
      <c r="AM1549" s="3"/>
      <c r="AN1549" s="3"/>
      <c r="AO1549" s="4"/>
      <c r="AP1549" s="3"/>
      <c r="AQ1549" s="4"/>
      <c r="AR1549" s="3"/>
      <c r="AS1549" s="3"/>
      <c r="AT1549" s="4"/>
      <c r="AU1549" s="3"/>
      <c r="AV1549" s="4"/>
      <c r="AW1549" s="4"/>
      <c r="AX1549" s="4"/>
      <c r="AY1549" s="4"/>
      <c r="AZ1549" s="4"/>
      <c r="BA1549" s="4"/>
      <c r="BB1549" s="4"/>
      <c r="BC1549" s="4"/>
      <c r="BD1549" s="4"/>
      <c r="BE1549" s="4"/>
      <c r="BF1549" s="3"/>
      <c r="BG1549" s="3"/>
      <c r="BH1549" s="3"/>
      <c r="BI1549" s="4"/>
      <c r="BJ1549" s="3"/>
      <c r="BK1549" s="4"/>
      <c r="BL1549" s="4"/>
      <c r="BM1549" s="3"/>
      <c r="BN1549" s="4"/>
      <c r="BO1549" s="4"/>
      <c r="BP1549" s="4"/>
      <c r="BQ1549" s="4"/>
      <c r="BR1549" s="4"/>
      <c r="BS1549" s="4"/>
      <c r="BT1549" s="4"/>
      <c r="BU1549" s="4"/>
      <c r="BV1549" s="4"/>
      <c r="BW1549" s="4"/>
      <c r="BX1549" s="4"/>
      <c r="BY1549" s="4"/>
      <c r="BZ1549" s="4"/>
      <c r="CA1549" s="4"/>
      <c r="CB1549" s="4"/>
      <c r="CC1549" s="4"/>
      <c r="CD1549" s="4"/>
      <c r="CE1549" s="4"/>
      <c r="CF1549" s="4"/>
      <c r="CG1549" s="4"/>
      <c r="CH1549" s="4"/>
      <c r="CI1549" s="4"/>
      <c r="CJ1549" s="4"/>
      <c r="CK1549" s="4"/>
      <c r="CL1549" s="4"/>
      <c r="CM1549" s="4"/>
      <c r="CN1549" s="4"/>
      <c r="CO1549" s="4"/>
      <c r="CP1549" s="4"/>
      <c r="CQ1549" s="4"/>
      <c r="CR1549" s="4"/>
      <c r="CS1549" s="4"/>
      <c r="CT1549" s="4"/>
      <c r="CU1549" s="4"/>
      <c r="CV1549" s="4"/>
      <c r="CW1549" s="4"/>
      <c r="CX1549" s="4"/>
      <c r="CY1549" s="4"/>
      <c r="CZ1549" s="4"/>
      <c r="DA1549" s="4"/>
      <c r="DB1549" s="3"/>
      <c r="DC1549" s="3"/>
      <c r="DD1549" s="4"/>
      <c r="DE1549" s="4"/>
      <c r="DF1549" s="4"/>
      <c r="DG1549" s="4"/>
      <c r="DH1549" s="4"/>
      <c r="DI1549" s="4"/>
      <c r="DJ1549" s="4"/>
      <c r="DK1549" s="4"/>
      <c r="DL1549" s="4"/>
      <c r="DM1549" s="4"/>
      <c r="DN1549" s="4"/>
      <c r="DO1549" s="4"/>
      <c r="DP1549" s="4"/>
      <c r="DQ1549" s="4"/>
      <c r="DR1549" s="4"/>
      <c r="DS1549" s="4"/>
      <c r="DT1549" s="4"/>
      <c r="DU1549" s="4"/>
      <c r="DV1549" s="4"/>
      <c r="DW1549" s="4"/>
      <c r="DX1549" s="4"/>
      <c r="DY1549" s="4"/>
      <c r="DZ1549" s="4"/>
      <c r="EA1549" s="4"/>
      <c r="EB1549" s="4"/>
      <c r="EC1549" s="4"/>
      <c r="ED1549" s="4"/>
      <c r="EE1549" s="4"/>
      <c r="EF1549" s="4"/>
      <c r="EG1549" s="4"/>
      <c r="EH1549" s="4"/>
      <c r="EI1549" s="4"/>
      <c r="EJ1549" s="4"/>
      <c r="EK1549" s="4"/>
      <c r="EL1549" s="4"/>
      <c r="EM1549" s="4"/>
      <c r="EN1549" s="4"/>
      <c r="EO1549" s="4"/>
    </row>
    <row r="1550" spans="1:149" hidden="1">
      <c r="A1550" s="11" t="s">
        <v>9940</v>
      </c>
      <c r="B1550" s="3" t="s">
        <v>8373</v>
      </c>
      <c r="C1550" s="3">
        <v>2006</v>
      </c>
      <c r="D1550" s="3" t="s">
        <v>7407</v>
      </c>
      <c r="E1550" s="3" t="s">
        <v>9112</v>
      </c>
      <c r="F1550" s="3">
        <v>1</v>
      </c>
      <c r="G1550" s="3"/>
      <c r="H1550" s="3" t="s">
        <v>7411</v>
      </c>
      <c r="I1550" s="3"/>
      <c r="J1550" s="3"/>
      <c r="K1550" s="3" t="s">
        <v>1414</v>
      </c>
      <c r="L1550" s="4"/>
      <c r="M1550" s="3" t="s">
        <v>8639</v>
      </c>
      <c r="T1550" s="3" t="s">
        <v>7409</v>
      </c>
      <c r="V1550" s="3"/>
      <c r="W1550" s="4"/>
      <c r="X1550" s="5" t="s">
        <v>7412</v>
      </c>
      <c r="Y1550" s="5"/>
      <c r="Z1550" s="3">
        <v>1</v>
      </c>
      <c r="AA1550" s="4"/>
      <c r="AB1550" s="3"/>
      <c r="AE1550" s="3"/>
      <c r="AF1550" s="3"/>
      <c r="AG1550" s="4"/>
      <c r="AH1550" s="4"/>
      <c r="AI1550" s="4"/>
      <c r="AJ1550" s="4"/>
      <c r="AK1550" s="3"/>
      <c r="AL1550" s="3"/>
      <c r="AM1550" s="3"/>
      <c r="AN1550" s="3"/>
      <c r="AO1550" s="4"/>
      <c r="AP1550" s="3"/>
      <c r="AQ1550" s="4"/>
      <c r="AR1550" s="3"/>
      <c r="AS1550" s="3"/>
      <c r="AT1550" s="4"/>
      <c r="AU1550" s="3"/>
      <c r="AV1550" s="4"/>
      <c r="AW1550" s="4"/>
      <c r="AX1550" s="4"/>
      <c r="AY1550" s="4"/>
      <c r="AZ1550" s="4"/>
      <c r="BA1550" s="4"/>
      <c r="BB1550" s="4"/>
      <c r="BC1550" s="4"/>
      <c r="BD1550" s="4"/>
      <c r="BE1550" s="4"/>
      <c r="BF1550" s="3"/>
      <c r="BG1550" s="3"/>
      <c r="BH1550" s="3"/>
      <c r="BI1550" s="4"/>
      <c r="BJ1550" s="3"/>
      <c r="BK1550" s="4"/>
      <c r="BL1550" s="4"/>
      <c r="BM1550" s="3"/>
      <c r="BN1550" s="4"/>
      <c r="BO1550" s="4"/>
      <c r="BP1550" s="4"/>
      <c r="BQ1550" s="4"/>
      <c r="BR1550" s="4"/>
      <c r="BS1550" s="4"/>
      <c r="BT1550" s="4"/>
      <c r="BU1550" s="4"/>
      <c r="BV1550" s="4"/>
      <c r="BW1550" s="4"/>
      <c r="BX1550" s="4"/>
      <c r="BY1550" s="4"/>
      <c r="BZ1550" s="4"/>
      <c r="CA1550" s="4"/>
      <c r="CB1550" s="4"/>
      <c r="CC1550" s="4"/>
      <c r="CD1550" s="4"/>
      <c r="CE1550" s="4"/>
      <c r="CF1550" s="4"/>
      <c r="CG1550" s="4"/>
      <c r="CH1550" s="4"/>
      <c r="CI1550" s="4"/>
      <c r="CJ1550" s="4"/>
      <c r="CK1550" s="3"/>
      <c r="CL1550" s="3"/>
      <c r="CM1550" s="8"/>
      <c r="CN1550" s="4"/>
      <c r="CO1550" s="4"/>
      <c r="CP1550" s="4"/>
      <c r="CQ1550" s="4"/>
      <c r="CR1550" s="8"/>
      <c r="CS1550" s="8"/>
      <c r="CT1550" s="8"/>
      <c r="CU1550" s="8"/>
      <c r="CV1550" s="4"/>
      <c r="CW1550" s="4"/>
      <c r="CX1550" s="4"/>
      <c r="CY1550" s="4"/>
      <c r="CZ1550" s="4"/>
      <c r="DA1550" s="4"/>
      <c r="DB1550" s="4"/>
      <c r="DC1550" s="4"/>
      <c r="DD1550" s="4"/>
      <c r="DE1550" s="4"/>
      <c r="DF1550" s="4"/>
      <c r="DG1550" s="4"/>
      <c r="DH1550" s="4"/>
      <c r="DI1550" s="4"/>
      <c r="DJ1550" s="4"/>
      <c r="DK1550" s="4"/>
      <c r="DL1550" s="4"/>
      <c r="DM1550" s="4"/>
      <c r="DN1550" s="4"/>
      <c r="DO1550" s="4"/>
      <c r="DP1550" s="8"/>
      <c r="DQ1550" s="8"/>
      <c r="DR1550" s="8"/>
      <c r="DS1550" s="8"/>
      <c r="DT1550" s="8"/>
      <c r="DU1550" s="8"/>
      <c r="DV1550" s="4"/>
      <c r="DW1550" s="4"/>
      <c r="DX1550" s="4"/>
    </row>
    <row r="1551" spans="1:149" hidden="1">
      <c r="A1551" s="11" t="s">
        <v>9940</v>
      </c>
      <c r="B1551" s="3" t="s">
        <v>8373</v>
      </c>
      <c r="C1551" s="3">
        <v>1987</v>
      </c>
      <c r="D1551" s="3" t="s">
        <v>9113</v>
      </c>
      <c r="E1551" s="3" t="s">
        <v>9114</v>
      </c>
      <c r="F1551" s="3">
        <v>1</v>
      </c>
      <c r="G1551" s="3"/>
      <c r="H1551" s="3" t="s">
        <v>9116</v>
      </c>
      <c r="I1551" s="3"/>
      <c r="J1551" s="3"/>
      <c r="K1551" s="3" t="s">
        <v>370</v>
      </c>
      <c r="L1551" s="4"/>
      <c r="M1551" s="3" t="s">
        <v>8582</v>
      </c>
      <c r="T1551" s="4"/>
      <c r="V1551" s="3"/>
      <c r="W1551" s="3"/>
      <c r="X1551" s="5" t="s">
        <v>9115</v>
      </c>
      <c r="Y1551" s="5"/>
      <c r="Z1551" s="3">
        <v>1</v>
      </c>
      <c r="AA1551" s="4"/>
      <c r="AB1551" s="4"/>
      <c r="AE1551" s="3"/>
      <c r="AF1551" s="3"/>
      <c r="AG1551" s="4"/>
      <c r="AH1551" s="4"/>
      <c r="AI1551" s="3"/>
      <c r="AJ1551" s="3"/>
      <c r="AK1551" s="3"/>
      <c r="AL1551" s="3"/>
      <c r="AM1551" s="3"/>
      <c r="AN1551" s="3"/>
      <c r="AO1551" s="4"/>
      <c r="AP1551" s="3"/>
      <c r="AQ1551" s="4"/>
      <c r="AR1551" s="3"/>
      <c r="AS1551" s="3"/>
      <c r="AT1551" s="4"/>
      <c r="AU1551" s="3"/>
      <c r="AV1551" s="4"/>
      <c r="AW1551" s="4"/>
      <c r="AX1551" s="4"/>
      <c r="AY1551" s="4"/>
      <c r="AZ1551" s="4"/>
      <c r="BA1551" s="4"/>
      <c r="BB1551" s="4"/>
      <c r="BC1551" s="4"/>
      <c r="BD1551" s="4"/>
      <c r="BE1551" s="4"/>
      <c r="BF1551" s="3"/>
      <c r="BG1551" s="3"/>
      <c r="BH1551" s="3"/>
      <c r="BI1551" s="4"/>
      <c r="BJ1551" s="3"/>
      <c r="BK1551" s="4"/>
      <c r="BL1551" s="4"/>
      <c r="BM1551" s="3"/>
      <c r="BN1551" s="4"/>
      <c r="BO1551" s="4"/>
      <c r="BP1551" s="4"/>
      <c r="BQ1551" s="4"/>
      <c r="BR1551" s="4"/>
      <c r="BS1551" s="4"/>
      <c r="BT1551" s="4"/>
      <c r="BU1551" s="4"/>
      <c r="BV1551" s="4"/>
      <c r="BW1551" s="4"/>
      <c r="BX1551" s="4"/>
      <c r="BY1551" s="4"/>
      <c r="BZ1551" s="4"/>
      <c r="CA1551" s="4"/>
      <c r="CB1551" s="4"/>
      <c r="CC1551" s="4"/>
      <c r="CD1551" s="4"/>
      <c r="CE1551" s="4"/>
      <c r="CF1551" s="4"/>
      <c r="CG1551" s="4"/>
      <c r="CH1551" s="4"/>
      <c r="CI1551" s="4"/>
      <c r="CJ1551" s="4"/>
      <c r="CK1551" s="4"/>
      <c r="CL1551" s="4"/>
      <c r="CM1551" s="4"/>
      <c r="CN1551" s="4"/>
      <c r="CO1551" s="4"/>
      <c r="CP1551" s="4"/>
      <c r="CQ1551" s="4"/>
      <c r="CR1551" s="4"/>
      <c r="CS1551" s="4"/>
      <c r="CT1551" s="4"/>
      <c r="CU1551" s="4"/>
      <c r="CV1551" s="4"/>
      <c r="CW1551" s="4"/>
      <c r="CX1551" s="4"/>
      <c r="CY1551" s="4"/>
      <c r="CZ1551" s="4"/>
      <c r="DA1551" s="4"/>
      <c r="DB1551" s="4"/>
      <c r="DC1551" s="4"/>
      <c r="DD1551" s="4"/>
      <c r="DE1551" s="3"/>
      <c r="DF1551" s="3"/>
      <c r="DG1551" s="8"/>
      <c r="DH1551" s="4"/>
      <c r="DI1551" s="4"/>
      <c r="DJ1551" s="4"/>
      <c r="DK1551" s="4"/>
      <c r="DL1551" s="8"/>
      <c r="DM1551" s="8"/>
      <c r="DN1551" s="8"/>
      <c r="DO1551" s="8"/>
      <c r="DP1551" s="4"/>
      <c r="DQ1551" s="4"/>
      <c r="DR1551" s="4"/>
      <c r="DS1551" s="4"/>
      <c r="DT1551" s="4"/>
      <c r="DU1551" s="4"/>
      <c r="DV1551" s="4"/>
      <c r="DW1551" s="4"/>
      <c r="DX1551" s="4"/>
      <c r="DY1551" s="4"/>
      <c r="DZ1551" s="4"/>
      <c r="EA1551" s="4"/>
      <c r="EB1551" s="4"/>
      <c r="EC1551" s="4"/>
      <c r="ED1551" s="4"/>
      <c r="EE1551" s="4"/>
      <c r="EF1551" s="4"/>
      <c r="EG1551" s="4"/>
      <c r="EH1551" s="4"/>
      <c r="EI1551" s="4"/>
      <c r="EJ1551" s="8"/>
      <c r="EK1551" s="8"/>
      <c r="EL1551" s="8"/>
      <c r="EM1551" s="8"/>
      <c r="EN1551" s="8"/>
      <c r="EO1551" s="8"/>
      <c r="EP1551" s="4"/>
      <c r="EQ1551" s="4"/>
      <c r="ER1551" s="4"/>
    </row>
    <row r="1552" spans="1:149" hidden="1">
      <c r="A1552" s="11" t="s">
        <v>9940</v>
      </c>
      <c r="B1552" s="3" t="s">
        <v>8373</v>
      </c>
      <c r="C1552" s="3">
        <v>2009</v>
      </c>
      <c r="D1552" s="3" t="s">
        <v>4516</v>
      </c>
      <c r="E1552" s="3" t="s">
        <v>9812</v>
      </c>
      <c r="F1552" s="3">
        <v>0</v>
      </c>
      <c r="G1552" s="3" t="s">
        <v>9265</v>
      </c>
      <c r="H1552" s="3" t="s">
        <v>4521</v>
      </c>
      <c r="I1552" s="3"/>
      <c r="J1552" s="3"/>
      <c r="K1552" s="3" t="s">
        <v>4517</v>
      </c>
      <c r="L1552" s="4"/>
      <c r="M1552" s="3" t="s">
        <v>9813</v>
      </c>
      <c r="T1552" s="3" t="s">
        <v>4519</v>
      </c>
      <c r="V1552" s="4"/>
      <c r="W1552" s="4"/>
      <c r="X1552" s="5" t="s">
        <v>4522</v>
      </c>
      <c r="Y1552" s="5"/>
      <c r="Z1552" s="4"/>
      <c r="AA1552" s="4"/>
      <c r="AB1552" s="4"/>
      <c r="AE1552" s="4"/>
      <c r="AF1552" s="4"/>
      <c r="AG1552" s="3"/>
      <c r="AH1552" s="3"/>
      <c r="AI1552" s="3"/>
      <c r="AJ1552" s="3"/>
      <c r="AK1552" s="4"/>
      <c r="AL1552" s="3"/>
      <c r="AM1552" s="4"/>
      <c r="AN1552" s="3"/>
      <c r="AO1552" s="3"/>
      <c r="AP1552" s="4"/>
      <c r="AQ1552" s="3"/>
      <c r="AR1552" s="4"/>
      <c r="AS1552" s="4"/>
      <c r="AT1552" s="4"/>
      <c r="AU1552" s="4"/>
      <c r="AV1552" s="4"/>
      <c r="AW1552" s="4"/>
      <c r="AX1552" s="4"/>
      <c r="AY1552" s="4"/>
      <c r="AZ1552" s="4"/>
      <c r="BA1552" s="4"/>
      <c r="BB1552" s="3"/>
      <c r="BC1552" s="3"/>
      <c r="BD1552" s="3"/>
      <c r="BE1552" s="4"/>
      <c r="BF1552" s="3"/>
      <c r="BG1552" s="4"/>
      <c r="BH1552" s="4"/>
      <c r="BI1552" s="3"/>
      <c r="BJ1552" s="4"/>
      <c r="BK1552" s="4"/>
      <c r="BL1552" s="4"/>
      <c r="BM1552" s="4"/>
      <c r="BN1552" s="4"/>
      <c r="BO1552" s="4"/>
      <c r="BP1552" s="4"/>
      <c r="BQ1552" s="4"/>
      <c r="BR1552" s="4"/>
      <c r="BS1552" s="4"/>
      <c r="BT1552" s="4"/>
      <c r="BU1552" s="4"/>
      <c r="BV1552" s="4"/>
      <c r="BW1552" s="4"/>
      <c r="BX1552" s="4"/>
      <c r="BY1552" s="4"/>
      <c r="BZ1552" s="4"/>
      <c r="CA1552" s="4"/>
      <c r="CB1552" s="4"/>
      <c r="CC1552" s="4"/>
      <c r="CD1552" s="4"/>
      <c r="CE1552" s="4"/>
      <c r="CF1552" s="4"/>
      <c r="CG1552" s="4"/>
      <c r="CH1552" s="4"/>
      <c r="CI1552" s="3"/>
      <c r="CJ1552" s="3"/>
      <c r="CK1552" s="4"/>
      <c r="CL1552" s="4"/>
      <c r="CM1552" s="4"/>
      <c r="CN1552" s="4"/>
      <c r="CO1552" s="4"/>
      <c r="CP1552" s="4"/>
      <c r="CQ1552" s="4"/>
      <c r="CR1552" s="4"/>
      <c r="CS1552" s="4"/>
      <c r="CT1552" s="4"/>
      <c r="CU1552" s="4"/>
      <c r="CV1552" s="4"/>
      <c r="CW1552" s="4"/>
      <c r="CX1552" s="4"/>
      <c r="CY1552" s="4"/>
      <c r="CZ1552" s="4"/>
      <c r="DA1552" s="4"/>
      <c r="DB1552" s="4"/>
      <c r="DC1552" s="4"/>
      <c r="DD1552" s="4"/>
      <c r="DE1552" s="4"/>
      <c r="DF1552" s="4"/>
      <c r="DG1552" s="4"/>
      <c r="DH1552" s="4"/>
      <c r="DI1552" s="4"/>
      <c r="DJ1552" s="4"/>
      <c r="DK1552" s="4"/>
      <c r="DL1552" s="4"/>
      <c r="DM1552" s="4"/>
      <c r="DN1552" s="4"/>
      <c r="DO1552" s="4"/>
      <c r="DP1552" s="4"/>
      <c r="DQ1552" s="4"/>
      <c r="DR1552" s="4"/>
      <c r="DS1552" s="4"/>
      <c r="DT1552" s="4"/>
      <c r="DU1552" s="4"/>
      <c r="DV1552" s="4"/>
    </row>
    <row r="1553" spans="1:152" hidden="1">
      <c r="A1553" s="11" t="s">
        <v>9940</v>
      </c>
      <c r="B1553" s="3" t="s">
        <v>8373</v>
      </c>
      <c r="C1553" s="3">
        <v>2010</v>
      </c>
      <c r="D1553" s="3" t="s">
        <v>3045</v>
      </c>
      <c r="E1553" s="3" t="s">
        <v>9814</v>
      </c>
      <c r="F1553" s="3">
        <v>1</v>
      </c>
      <c r="G1553" s="3"/>
      <c r="H1553" s="3" t="s">
        <v>9816</v>
      </c>
      <c r="I1553" s="3"/>
      <c r="J1553" s="3"/>
      <c r="K1553" s="3" t="s">
        <v>347</v>
      </c>
      <c r="L1553" s="4"/>
      <c r="M1553" s="3" t="s">
        <v>9815</v>
      </c>
      <c r="T1553" s="3" t="s">
        <v>3047</v>
      </c>
      <c r="V1553" s="3"/>
      <c r="W1553" s="3"/>
      <c r="X1553" s="5" t="s">
        <v>3050</v>
      </c>
      <c r="Y1553" s="5"/>
      <c r="Z1553" s="3">
        <v>0</v>
      </c>
      <c r="AA1553" s="3" t="s">
        <v>9245</v>
      </c>
      <c r="AB1553" s="4"/>
      <c r="AE1553" s="3"/>
      <c r="AF1553" s="4"/>
      <c r="AG1553" s="4"/>
      <c r="AH1553" s="4"/>
      <c r="AI1553" s="4"/>
      <c r="AJ1553" s="4"/>
      <c r="AK1553" s="3"/>
      <c r="AL1553" s="7"/>
      <c r="AM1553" s="3"/>
      <c r="AN1553" s="3"/>
      <c r="AO1553" s="4"/>
      <c r="AP1553" s="3"/>
      <c r="AQ1553" s="4"/>
      <c r="AR1553" s="3"/>
      <c r="AS1553" s="3"/>
      <c r="AT1553" s="4"/>
      <c r="AU1553" s="3"/>
      <c r="AV1553" s="4"/>
      <c r="AW1553" s="4"/>
      <c r="AX1553" s="4"/>
      <c r="AY1553" s="4"/>
      <c r="AZ1553" s="4"/>
      <c r="BA1553" s="4"/>
      <c r="BB1553" s="4"/>
      <c r="BC1553" s="4"/>
      <c r="BD1553" s="4"/>
      <c r="BE1553" s="4"/>
      <c r="BF1553" s="3"/>
      <c r="BG1553" s="3"/>
      <c r="BH1553" s="3"/>
      <c r="BI1553" s="4"/>
      <c r="BJ1553" s="3"/>
      <c r="BK1553" s="4"/>
      <c r="BL1553" s="4"/>
      <c r="BM1553" s="3"/>
      <c r="BN1553" s="4"/>
      <c r="BO1553" s="4"/>
      <c r="BP1553" s="4"/>
      <c r="BQ1553" s="4"/>
      <c r="BR1553" s="4"/>
      <c r="BS1553" s="4"/>
      <c r="BT1553" s="4"/>
      <c r="BU1553" s="4"/>
      <c r="BV1553" s="4"/>
      <c r="BW1553" s="4"/>
      <c r="BX1553" s="4"/>
      <c r="BY1553" s="4"/>
      <c r="BZ1553" s="4"/>
      <c r="CA1553" s="4"/>
      <c r="CB1553" s="4"/>
      <c r="CC1553" s="4"/>
      <c r="CD1553" s="4"/>
      <c r="CE1553" s="4"/>
      <c r="CF1553" s="4"/>
      <c r="CG1553" s="4"/>
      <c r="CH1553" s="3"/>
      <c r="CI1553" s="3"/>
      <c r="CJ1553" s="4"/>
      <c r="CK1553" s="4"/>
      <c r="CL1553" s="4"/>
      <c r="CM1553" s="4"/>
      <c r="CN1553" s="4"/>
      <c r="CO1553" s="4"/>
      <c r="CP1553" s="4"/>
      <c r="CQ1553" s="4"/>
      <c r="CR1553" s="4"/>
      <c r="CS1553" s="4"/>
      <c r="CT1553" s="4"/>
      <c r="CU1553" s="4"/>
      <c r="CV1553" s="4"/>
      <c r="CW1553" s="4"/>
      <c r="CX1553" s="4"/>
      <c r="CY1553" s="4"/>
      <c r="CZ1553" s="4"/>
      <c r="DA1553" s="4"/>
      <c r="DB1553" s="4"/>
      <c r="DC1553" s="4"/>
      <c r="DD1553" s="4"/>
      <c r="DE1553" s="4"/>
      <c r="DF1553" s="4"/>
      <c r="DG1553" s="4"/>
      <c r="DH1553" s="4"/>
      <c r="DI1553" s="4"/>
      <c r="DJ1553" s="4"/>
      <c r="DK1553" s="4"/>
      <c r="DL1553" s="4"/>
      <c r="DM1553" s="4"/>
      <c r="DN1553" s="4"/>
      <c r="DO1553" s="4"/>
      <c r="DP1553" s="4"/>
      <c r="DQ1553" s="4"/>
      <c r="DR1553" s="4"/>
      <c r="DS1553" s="4"/>
      <c r="DT1553" s="4"/>
      <c r="DU1553" s="4"/>
    </row>
    <row r="1554" spans="1:152" hidden="1">
      <c r="A1554" s="11" t="s">
        <v>9940</v>
      </c>
      <c r="B1554" s="3" t="s">
        <v>8373</v>
      </c>
      <c r="C1554" s="3">
        <v>2011</v>
      </c>
      <c r="D1554" s="3" t="s">
        <v>9117</v>
      </c>
      <c r="E1554" s="3" t="s">
        <v>9118</v>
      </c>
      <c r="F1554" s="3">
        <v>1</v>
      </c>
      <c r="G1554" s="3"/>
      <c r="H1554" s="3" t="s">
        <v>9119</v>
      </c>
      <c r="I1554" s="3"/>
      <c r="J1554" s="3"/>
      <c r="K1554" s="3" t="s">
        <v>132</v>
      </c>
      <c r="L1554" s="4"/>
      <c r="M1554" s="3" t="s">
        <v>8382</v>
      </c>
      <c r="T1554" s="3" t="s">
        <v>4200</v>
      </c>
      <c r="V1554" s="3"/>
      <c r="W1554" s="3"/>
      <c r="X1554" s="5" t="s">
        <v>4203</v>
      </c>
      <c r="Y1554" s="5"/>
      <c r="Z1554" s="3">
        <v>1</v>
      </c>
      <c r="AA1554" s="4"/>
      <c r="AB1554" s="4"/>
      <c r="AE1554" s="3"/>
      <c r="AF1554" s="3"/>
      <c r="AG1554" s="4"/>
      <c r="AH1554" s="4"/>
      <c r="AI1554" s="4"/>
      <c r="AJ1554" s="4"/>
      <c r="AK1554" s="3"/>
      <c r="AL1554" s="3"/>
      <c r="AM1554" s="3"/>
      <c r="AN1554" s="3"/>
      <c r="AO1554" s="4"/>
      <c r="AP1554" s="12"/>
      <c r="AQ1554" s="4"/>
      <c r="AR1554" s="3"/>
      <c r="AS1554" s="3"/>
      <c r="AT1554" s="4"/>
      <c r="AU1554" s="3"/>
      <c r="AV1554" s="4"/>
      <c r="AW1554" s="4"/>
      <c r="AX1554" s="4"/>
      <c r="AY1554" s="4"/>
      <c r="AZ1554" s="4"/>
      <c r="BA1554" s="4"/>
      <c r="BB1554" s="4"/>
      <c r="BC1554" s="4"/>
      <c r="BD1554" s="4"/>
      <c r="BE1554" s="4"/>
      <c r="BF1554" s="3"/>
      <c r="BG1554" s="3"/>
      <c r="BH1554" s="3"/>
      <c r="BI1554" s="4"/>
      <c r="BJ1554" s="3"/>
      <c r="BK1554" s="4"/>
      <c r="BL1554" s="4"/>
      <c r="BM1554" s="3"/>
      <c r="BN1554" s="4"/>
      <c r="BO1554" s="4"/>
      <c r="BP1554" s="4"/>
      <c r="BQ1554" s="4"/>
      <c r="BR1554" s="4"/>
      <c r="BS1554" s="4"/>
      <c r="BT1554" s="4"/>
      <c r="BU1554" s="4"/>
      <c r="BV1554" s="4"/>
      <c r="BW1554" s="4"/>
      <c r="BX1554" s="4"/>
      <c r="BY1554" s="4"/>
      <c r="BZ1554" s="4"/>
      <c r="CA1554" s="4"/>
      <c r="CB1554" s="4"/>
      <c r="CC1554" s="4"/>
      <c r="CD1554" s="4"/>
      <c r="CE1554" s="4"/>
      <c r="CF1554" s="4"/>
      <c r="CG1554" s="4"/>
      <c r="CH1554" s="4"/>
      <c r="CI1554" s="4"/>
      <c r="CJ1554" s="4"/>
      <c r="CK1554" s="4"/>
      <c r="CL1554" s="4"/>
      <c r="CM1554" s="4"/>
      <c r="CN1554" s="4"/>
      <c r="CO1554" s="4"/>
      <c r="CP1554" s="4"/>
      <c r="CQ1554" s="4"/>
      <c r="CR1554" s="4"/>
      <c r="CS1554" s="4"/>
      <c r="CT1554" s="4"/>
      <c r="CU1554" s="4"/>
      <c r="CV1554" s="4"/>
      <c r="CW1554" s="4"/>
      <c r="CX1554" s="4"/>
      <c r="CY1554" s="4"/>
      <c r="CZ1554" s="4"/>
      <c r="DA1554" s="4"/>
      <c r="DB1554" s="4"/>
      <c r="DC1554" s="4"/>
      <c r="DD1554" s="4"/>
      <c r="DE1554" s="4"/>
      <c r="DF1554" s="4"/>
      <c r="DG1554" s="4"/>
      <c r="DH1554" s="4"/>
      <c r="DI1554" s="3"/>
      <c r="DJ1554" s="3"/>
      <c r="DK1554" s="8"/>
      <c r="DL1554" s="4"/>
      <c r="DM1554" s="4"/>
      <c r="DN1554" s="4"/>
      <c r="DO1554" s="4"/>
      <c r="DP1554" s="8"/>
      <c r="DQ1554" s="8"/>
      <c r="DR1554" s="8"/>
      <c r="DS1554" s="8"/>
      <c r="DT1554" s="4"/>
      <c r="DU1554" s="4"/>
      <c r="DV1554" s="4"/>
      <c r="DW1554" s="4"/>
      <c r="DX1554" s="4"/>
      <c r="DY1554" s="4"/>
      <c r="DZ1554" s="4"/>
      <c r="EA1554" s="4"/>
      <c r="EB1554" s="4"/>
      <c r="EC1554" s="4"/>
      <c r="ED1554" s="4"/>
      <c r="EE1554" s="4"/>
      <c r="EF1554" s="4"/>
      <c r="EG1554" s="4"/>
      <c r="EH1554" s="4"/>
      <c r="EI1554" s="4"/>
      <c r="EJ1554" s="4"/>
      <c r="EK1554" s="4"/>
      <c r="EL1554" s="4"/>
      <c r="EM1554" s="4"/>
      <c r="EN1554" s="8"/>
      <c r="EO1554" s="8"/>
      <c r="EP1554" s="8"/>
      <c r="EQ1554" s="8"/>
      <c r="ER1554" s="8"/>
      <c r="ES1554" s="8"/>
      <c r="ET1554" s="4"/>
      <c r="EU1554" s="4"/>
      <c r="EV1554" s="4"/>
    </row>
    <row r="1555" spans="1:152" hidden="1">
      <c r="A1555" s="11" t="s">
        <v>9940</v>
      </c>
      <c r="B1555" s="3" t="s">
        <v>8373</v>
      </c>
      <c r="C1555" s="3">
        <v>2006</v>
      </c>
      <c r="D1555" s="3" t="s">
        <v>3111</v>
      </c>
      <c r="E1555" s="3" t="s">
        <v>9817</v>
      </c>
      <c r="F1555" s="3">
        <v>1</v>
      </c>
      <c r="G1555" s="3"/>
      <c r="H1555" s="3" t="s">
        <v>3115</v>
      </c>
      <c r="I1555" s="3"/>
      <c r="J1555" s="3"/>
      <c r="K1555" s="3" t="s">
        <v>140</v>
      </c>
      <c r="L1555" s="4"/>
      <c r="M1555" s="3" t="s">
        <v>8898</v>
      </c>
      <c r="T1555" s="3" t="s">
        <v>3113</v>
      </c>
      <c r="V1555" s="3"/>
      <c r="W1555" s="3"/>
      <c r="X1555" s="5" t="s">
        <v>3116</v>
      </c>
      <c r="Y1555" s="5"/>
      <c r="Z1555" s="3">
        <v>0</v>
      </c>
      <c r="AA1555" s="3" t="s">
        <v>9178</v>
      </c>
      <c r="AB1555" s="3"/>
      <c r="AE1555" s="3"/>
      <c r="AF1555" s="4"/>
      <c r="AG1555" s="4"/>
      <c r="AH1555" s="4"/>
      <c r="AI1555" s="4"/>
      <c r="AJ1555" s="4"/>
      <c r="AK1555" s="3"/>
      <c r="AL1555" s="3"/>
      <c r="AM1555" s="3"/>
      <c r="AN1555" s="3"/>
      <c r="AO1555" s="4"/>
      <c r="AP1555" s="3"/>
      <c r="AQ1555" s="4"/>
      <c r="AR1555" s="3"/>
      <c r="AS1555" s="3"/>
      <c r="AT1555" s="4"/>
      <c r="AU1555" s="3"/>
      <c r="AV1555" s="4"/>
      <c r="AW1555" s="4"/>
      <c r="AX1555" s="4"/>
      <c r="AY1555" s="4"/>
      <c r="AZ1555" s="4"/>
      <c r="BA1555" s="4"/>
      <c r="BB1555" s="4"/>
      <c r="BC1555" s="4"/>
      <c r="BD1555" s="4"/>
      <c r="BE1555" s="4"/>
      <c r="BF1555" s="3"/>
      <c r="BG1555" s="3"/>
      <c r="BH1555" s="3"/>
      <c r="BI1555" s="4"/>
      <c r="BJ1555" s="3"/>
      <c r="BK1555" s="4"/>
      <c r="BL1555" s="4"/>
      <c r="BM1555" s="3"/>
      <c r="BN1555" s="4"/>
      <c r="BO1555" s="4"/>
      <c r="BP1555" s="4"/>
      <c r="BQ1555" s="4"/>
      <c r="BR1555" s="4"/>
      <c r="BS1555" s="4"/>
      <c r="BT1555" s="4"/>
      <c r="BU1555" s="4"/>
      <c r="BV1555" s="4"/>
      <c r="BW1555" s="4"/>
      <c r="BX1555" s="4"/>
      <c r="BY1555" s="4"/>
      <c r="BZ1555" s="4"/>
      <c r="CA1555" s="4"/>
      <c r="CB1555" s="4"/>
      <c r="CC1555" s="4"/>
      <c r="CD1555" s="4"/>
      <c r="CE1555" s="4"/>
      <c r="CF1555" s="4"/>
      <c r="CG1555" s="4"/>
      <c r="CH1555" s="3"/>
      <c r="CI1555" s="3"/>
      <c r="CJ1555" s="4"/>
      <c r="CK1555" s="4"/>
      <c r="CL1555" s="4"/>
      <c r="CM1555" s="4"/>
      <c r="CN1555" s="4"/>
      <c r="CO1555" s="4"/>
      <c r="CP1555" s="4"/>
      <c r="CQ1555" s="4"/>
      <c r="CR1555" s="4"/>
      <c r="CS1555" s="4"/>
      <c r="CT1555" s="4"/>
      <c r="CU1555" s="4"/>
      <c r="CV1555" s="4"/>
      <c r="CW1555" s="4"/>
      <c r="CX1555" s="4"/>
      <c r="CY1555" s="4"/>
      <c r="CZ1555" s="4"/>
      <c r="DA1555" s="4"/>
      <c r="DB1555" s="4"/>
      <c r="DC1555" s="4"/>
      <c r="DD1555" s="4"/>
      <c r="DE1555" s="4"/>
      <c r="DF1555" s="4"/>
      <c r="DG1555" s="4"/>
      <c r="DH1555" s="4"/>
      <c r="DI1555" s="4"/>
      <c r="DJ1555" s="4"/>
      <c r="DK1555" s="4"/>
      <c r="DL1555" s="4"/>
      <c r="DM1555" s="4"/>
      <c r="DN1555" s="4"/>
      <c r="DO1555" s="4"/>
      <c r="DP1555" s="4"/>
      <c r="DQ1555" s="4"/>
      <c r="DR1555" s="4"/>
      <c r="DS1555" s="4"/>
      <c r="DT1555" s="4"/>
      <c r="DU1555" s="4"/>
    </row>
    <row r="1556" spans="1:152" hidden="1">
      <c r="A1556" s="11" t="s">
        <v>9940</v>
      </c>
      <c r="B1556" s="3" t="s">
        <v>8379</v>
      </c>
      <c r="C1556" s="3">
        <v>2009</v>
      </c>
      <c r="D1556" s="3" t="s">
        <v>8210</v>
      </c>
      <c r="E1556" s="3" t="s">
        <v>9120</v>
      </c>
      <c r="F1556" s="3">
        <v>1</v>
      </c>
      <c r="G1556" s="4"/>
      <c r="H1556" s="3" t="s">
        <v>9121</v>
      </c>
      <c r="I1556" s="3"/>
      <c r="J1556" s="3"/>
      <c r="K1556" s="4"/>
      <c r="L1556" s="4"/>
      <c r="M1556" s="4"/>
      <c r="T1556" s="4"/>
      <c r="V1556" s="3"/>
      <c r="W1556" s="4"/>
      <c r="X1556" s="5" t="s">
        <v>8214</v>
      </c>
      <c r="Y1556" s="5"/>
      <c r="Z1556" s="3">
        <v>1</v>
      </c>
      <c r="AA1556" s="4"/>
      <c r="AB1556" s="4"/>
      <c r="AE1556" s="3"/>
      <c r="AF1556" s="3"/>
      <c r="AG1556" s="3"/>
      <c r="AH1556" s="4"/>
      <c r="AI1556" s="4"/>
      <c r="AJ1556" s="4"/>
      <c r="AK1556" s="3"/>
      <c r="AL1556" s="3"/>
      <c r="AM1556" s="3"/>
      <c r="AN1556" s="3"/>
      <c r="AO1556" s="4"/>
      <c r="AP1556" s="4"/>
      <c r="AQ1556" s="3"/>
      <c r="AR1556" s="4"/>
      <c r="AS1556" s="4"/>
      <c r="AT1556" s="4"/>
      <c r="AU1556" s="4"/>
      <c r="AV1556" s="4"/>
      <c r="AW1556" s="4"/>
      <c r="AX1556" s="4"/>
      <c r="AY1556" s="4"/>
      <c r="AZ1556" s="4"/>
      <c r="BA1556" s="3"/>
      <c r="BB1556" s="4"/>
      <c r="BC1556" s="3"/>
      <c r="BD1556" s="3"/>
      <c r="BE1556" s="3"/>
      <c r="BF1556" s="4"/>
      <c r="BG1556" s="3"/>
      <c r="BH1556" s="3"/>
      <c r="BI1556" s="4"/>
      <c r="BJ1556" s="4"/>
      <c r="BK1556" s="4"/>
      <c r="BL1556" s="4"/>
      <c r="BM1556" s="4"/>
      <c r="BN1556" s="4"/>
      <c r="BO1556" s="4"/>
      <c r="BP1556" s="4"/>
      <c r="BQ1556" s="4"/>
      <c r="BR1556" s="4"/>
      <c r="BS1556" s="4"/>
      <c r="BT1556" s="4"/>
      <c r="BU1556" s="4"/>
      <c r="BV1556" s="4"/>
      <c r="BW1556" s="4"/>
      <c r="BX1556" s="4"/>
      <c r="BY1556" s="4"/>
      <c r="BZ1556" s="4"/>
      <c r="CA1556" s="4"/>
      <c r="CB1556" s="4"/>
      <c r="CC1556" s="4"/>
      <c r="CD1556" s="4"/>
      <c r="CE1556" s="4"/>
      <c r="CF1556" s="4"/>
      <c r="CG1556" s="4"/>
      <c r="CH1556" s="4"/>
      <c r="CI1556" s="4"/>
      <c r="CJ1556" s="4"/>
      <c r="CK1556" s="4"/>
      <c r="CL1556" s="4"/>
      <c r="CM1556" s="4"/>
      <c r="CN1556" s="4"/>
      <c r="CO1556" s="4"/>
      <c r="CP1556" s="4"/>
      <c r="CQ1556" s="4"/>
      <c r="CR1556" s="4"/>
      <c r="CS1556" s="4"/>
      <c r="CT1556" s="4"/>
      <c r="CU1556" s="4"/>
      <c r="CV1556" s="4"/>
      <c r="CW1556" s="4"/>
      <c r="CX1556" s="4"/>
      <c r="CY1556" s="4"/>
      <c r="CZ1556" s="4"/>
      <c r="DA1556" s="3"/>
      <c r="DB1556" s="3"/>
      <c r="DC1556" s="8"/>
      <c r="DD1556" s="4"/>
      <c r="DE1556" s="4"/>
      <c r="DF1556" s="4"/>
      <c r="DG1556" s="4"/>
      <c r="DH1556" s="8"/>
      <c r="DI1556" s="8"/>
      <c r="DJ1556" s="8"/>
      <c r="DK1556" s="8"/>
      <c r="DL1556" s="4"/>
      <c r="DM1556" s="4"/>
      <c r="DN1556" s="4"/>
      <c r="DO1556" s="4"/>
      <c r="DP1556" s="4"/>
      <c r="DQ1556" s="4"/>
      <c r="DR1556" s="4"/>
      <c r="DS1556" s="4"/>
      <c r="DT1556" s="4"/>
      <c r="DU1556" s="4"/>
      <c r="DV1556" s="4"/>
      <c r="DW1556" s="4"/>
      <c r="DX1556" s="4"/>
      <c r="DY1556" s="4"/>
      <c r="DZ1556" s="4"/>
      <c r="EA1556" s="4"/>
      <c r="EB1556" s="4"/>
      <c r="EC1556" s="4"/>
      <c r="ED1556" s="4"/>
      <c r="EE1556" s="4"/>
      <c r="EF1556" s="8"/>
      <c r="EG1556" s="8"/>
      <c r="EH1556" s="8"/>
      <c r="EI1556" s="8"/>
      <c r="EJ1556" s="8"/>
      <c r="EK1556" s="8"/>
      <c r="EL1556" s="4"/>
      <c r="EM1556" s="4"/>
      <c r="EN1556" s="4"/>
    </row>
    <row r="1557" spans="1:152" hidden="1">
      <c r="A1557" s="11" t="s">
        <v>9940</v>
      </c>
      <c r="B1557" s="3" t="s">
        <v>8373</v>
      </c>
      <c r="C1557" s="3">
        <v>2002</v>
      </c>
      <c r="D1557" s="3" t="s">
        <v>9818</v>
      </c>
      <c r="E1557" s="3" t="s">
        <v>9819</v>
      </c>
      <c r="F1557" s="3">
        <v>1</v>
      </c>
      <c r="G1557" s="3"/>
      <c r="H1557" s="3" t="s">
        <v>9822</v>
      </c>
      <c r="I1557" s="3"/>
      <c r="J1557" s="3"/>
      <c r="K1557" s="3" t="s">
        <v>5883</v>
      </c>
      <c r="L1557" s="4"/>
      <c r="M1557" s="3" t="s">
        <v>9285</v>
      </c>
      <c r="T1557" s="3" t="s">
        <v>9820</v>
      </c>
      <c r="V1557" s="3"/>
      <c r="W1557" s="3"/>
      <c r="X1557" s="5" t="s">
        <v>9821</v>
      </c>
      <c r="Y1557" s="5"/>
      <c r="Z1557" s="3">
        <v>0</v>
      </c>
      <c r="AA1557" s="3" t="s">
        <v>9178</v>
      </c>
      <c r="AB1557" s="4"/>
      <c r="AE1557" s="3"/>
      <c r="AF1557" s="4"/>
      <c r="AG1557" s="4"/>
      <c r="AH1557" s="4"/>
      <c r="AI1557" s="4"/>
      <c r="AJ1557" s="4"/>
      <c r="AK1557" s="3"/>
      <c r="AL1557" s="3"/>
      <c r="AM1557" s="3"/>
      <c r="AN1557" s="3"/>
      <c r="AO1557" s="4"/>
      <c r="AP1557" s="3"/>
      <c r="AQ1557" s="4"/>
      <c r="AR1557" s="3"/>
      <c r="AS1557" s="3"/>
      <c r="AT1557" s="4"/>
      <c r="AU1557" s="3"/>
      <c r="AV1557" s="4"/>
      <c r="AW1557" s="4"/>
      <c r="AX1557" s="4"/>
      <c r="AY1557" s="4"/>
      <c r="AZ1557" s="4"/>
      <c r="BA1557" s="4"/>
      <c r="BB1557" s="4"/>
      <c r="BC1557" s="4"/>
      <c r="BD1557" s="4"/>
      <c r="BE1557" s="4"/>
      <c r="BF1557" s="3"/>
      <c r="BG1557" s="3"/>
      <c r="BH1557" s="3"/>
      <c r="BI1557" s="4"/>
      <c r="BJ1557" s="3"/>
      <c r="BK1557" s="4"/>
      <c r="BL1557" s="4"/>
      <c r="BM1557" s="3"/>
      <c r="BN1557" s="4"/>
      <c r="BO1557" s="4"/>
      <c r="BP1557" s="4"/>
      <c r="BQ1557" s="4"/>
      <c r="BR1557" s="4"/>
      <c r="BS1557" s="4"/>
      <c r="BT1557" s="4"/>
      <c r="BU1557" s="4"/>
      <c r="BV1557" s="4"/>
      <c r="BW1557" s="4"/>
      <c r="BX1557" s="4"/>
      <c r="BY1557" s="4"/>
      <c r="BZ1557" s="4"/>
      <c r="CA1557" s="4"/>
      <c r="CB1557" s="4"/>
      <c r="CC1557" s="4"/>
      <c r="CD1557" s="4"/>
      <c r="CE1557" s="4"/>
      <c r="CF1557" s="4"/>
      <c r="CG1557" s="4"/>
      <c r="CH1557" s="3"/>
      <c r="CI1557" s="3"/>
      <c r="CJ1557" s="4"/>
      <c r="CK1557" s="4"/>
      <c r="CL1557" s="4"/>
      <c r="CM1557" s="4"/>
      <c r="CN1557" s="4"/>
      <c r="CO1557" s="4"/>
      <c r="CP1557" s="4"/>
      <c r="CQ1557" s="4"/>
      <c r="CR1557" s="4"/>
      <c r="CS1557" s="4"/>
      <c r="CT1557" s="4"/>
      <c r="CU1557" s="4"/>
      <c r="CV1557" s="4"/>
      <c r="CW1557" s="4"/>
      <c r="CX1557" s="4"/>
      <c r="CY1557" s="4"/>
      <c r="CZ1557" s="4"/>
      <c r="DA1557" s="4"/>
      <c r="DB1557" s="4"/>
      <c r="DC1557" s="4"/>
      <c r="DD1557" s="4"/>
      <c r="DE1557" s="4"/>
      <c r="DF1557" s="4"/>
      <c r="DG1557" s="4"/>
      <c r="DH1557" s="4"/>
      <c r="DI1557" s="4"/>
      <c r="DJ1557" s="4"/>
      <c r="DK1557" s="4"/>
      <c r="DL1557" s="4"/>
      <c r="DM1557" s="4"/>
      <c r="DN1557" s="4"/>
      <c r="DO1557" s="4"/>
      <c r="DP1557" s="4"/>
      <c r="DQ1557" s="4"/>
      <c r="DR1557" s="4"/>
      <c r="DS1557" s="4"/>
      <c r="DT1557" s="4"/>
      <c r="DU1557" s="4"/>
    </row>
    <row r="1558" spans="1:152" hidden="1">
      <c r="A1558" s="11" t="s">
        <v>9940</v>
      </c>
      <c r="B1558" s="3" t="s">
        <v>8373</v>
      </c>
      <c r="C1558" s="3">
        <v>1994</v>
      </c>
      <c r="D1558" s="3" t="s">
        <v>9823</v>
      </c>
      <c r="E1558" s="3" t="s">
        <v>9824</v>
      </c>
      <c r="F1558" s="3">
        <v>0</v>
      </c>
      <c r="G1558" s="3" t="s">
        <v>9237</v>
      </c>
      <c r="H1558" s="3" t="s">
        <v>9828</v>
      </c>
      <c r="I1558" s="3"/>
      <c r="J1558" s="3"/>
      <c r="K1558" s="3" t="s">
        <v>9825</v>
      </c>
      <c r="L1558" s="4"/>
      <c r="M1558" s="3" t="s">
        <v>9826</v>
      </c>
      <c r="T1558" s="4"/>
      <c r="V1558" s="4"/>
      <c r="W1558" s="4"/>
      <c r="X1558" s="5" t="s">
        <v>9827</v>
      </c>
      <c r="Y1558" s="5"/>
      <c r="Z1558" s="4"/>
      <c r="AA1558" s="4"/>
      <c r="AB1558" s="4"/>
      <c r="AE1558" s="4"/>
      <c r="AF1558" s="4"/>
      <c r="AG1558" s="3"/>
      <c r="AH1558" s="3"/>
      <c r="AI1558" s="3"/>
      <c r="AJ1558" s="3"/>
      <c r="AK1558" s="4"/>
      <c r="AL1558" s="3"/>
      <c r="AM1558" s="4"/>
      <c r="AN1558" s="3"/>
      <c r="AO1558" s="3"/>
      <c r="AP1558" s="4"/>
      <c r="AQ1558" s="3"/>
      <c r="AR1558" s="4"/>
      <c r="AS1558" s="4"/>
      <c r="AT1558" s="4"/>
      <c r="AU1558" s="4"/>
      <c r="AV1558" s="4"/>
      <c r="AW1558" s="4"/>
      <c r="AX1558" s="4"/>
      <c r="AY1558" s="4"/>
      <c r="AZ1558" s="4"/>
      <c r="BA1558" s="4"/>
      <c r="BB1558" s="3"/>
      <c r="BC1558" s="3"/>
      <c r="BD1558" s="3"/>
      <c r="BE1558" s="4"/>
      <c r="BF1558" s="3"/>
      <c r="BG1558" s="4"/>
      <c r="BH1558" s="4"/>
      <c r="BI1558" s="3"/>
      <c r="BJ1558" s="4"/>
      <c r="BK1558" s="4"/>
      <c r="BL1558" s="4"/>
      <c r="BM1558" s="4"/>
      <c r="BN1558" s="4"/>
      <c r="BO1558" s="4"/>
      <c r="BP1558" s="4"/>
      <c r="BQ1558" s="4"/>
      <c r="BR1558" s="4"/>
      <c r="BS1558" s="4"/>
      <c r="BT1558" s="4"/>
      <c r="BU1558" s="4"/>
      <c r="BV1558" s="4"/>
      <c r="BW1558" s="3"/>
      <c r="BX1558" s="3"/>
      <c r="BY1558" s="4"/>
      <c r="BZ1558" s="4"/>
      <c r="CA1558" s="4"/>
      <c r="CB1558" s="4"/>
      <c r="CC1558" s="4"/>
      <c r="CD1558" s="4"/>
      <c r="CE1558" s="4"/>
      <c r="CF1558" s="4"/>
      <c r="CG1558" s="4"/>
      <c r="CH1558" s="4"/>
      <c r="CI1558" s="4"/>
      <c r="CJ1558" s="4"/>
      <c r="CK1558" s="4"/>
      <c r="CL1558" s="4"/>
      <c r="CM1558" s="4"/>
      <c r="CN1558" s="4"/>
      <c r="CO1558" s="4"/>
      <c r="CP1558" s="4"/>
      <c r="CQ1558" s="4"/>
      <c r="CR1558" s="4"/>
      <c r="CS1558" s="4"/>
      <c r="CT1558" s="4"/>
      <c r="CU1558" s="4"/>
      <c r="CV1558" s="4"/>
      <c r="CW1558" s="4"/>
      <c r="CX1558" s="4"/>
      <c r="CY1558" s="4"/>
      <c r="CZ1558" s="4"/>
      <c r="DA1558" s="4"/>
      <c r="DB1558" s="4"/>
      <c r="DC1558" s="4"/>
      <c r="DD1558" s="4"/>
      <c r="DE1558" s="4"/>
      <c r="DF1558" s="4"/>
      <c r="DG1558" s="4"/>
      <c r="DH1558" s="4"/>
      <c r="DI1558" s="4"/>
      <c r="DJ1558" s="4"/>
    </row>
    <row r="1559" spans="1:152" hidden="1">
      <c r="A1559" s="11" t="s">
        <v>9940</v>
      </c>
      <c r="B1559" s="3" t="s">
        <v>8373</v>
      </c>
      <c r="C1559" s="3">
        <v>2010</v>
      </c>
      <c r="D1559" s="3" t="s">
        <v>124</v>
      </c>
      <c r="E1559" s="3" t="s">
        <v>9829</v>
      </c>
      <c r="F1559" s="3">
        <v>0</v>
      </c>
      <c r="G1559" s="3" t="s">
        <v>9237</v>
      </c>
      <c r="H1559" s="3" t="s">
        <v>128</v>
      </c>
      <c r="I1559" s="3"/>
      <c r="J1559" s="3"/>
      <c r="K1559" s="3" t="s">
        <v>40</v>
      </c>
      <c r="L1559" s="4"/>
      <c r="M1559" s="3" t="s">
        <v>8500</v>
      </c>
      <c r="T1559" s="3" t="s">
        <v>126</v>
      </c>
      <c r="V1559" s="4"/>
      <c r="W1559" s="4"/>
      <c r="X1559" s="5" t="s">
        <v>129</v>
      </c>
      <c r="Y1559" s="5"/>
      <c r="Z1559" s="4"/>
      <c r="AA1559" s="4"/>
      <c r="AB1559" s="4"/>
      <c r="AE1559" s="4"/>
      <c r="AF1559" s="4"/>
      <c r="AG1559" s="3"/>
      <c r="AH1559" s="3"/>
      <c r="AI1559" s="3"/>
      <c r="AJ1559" s="3"/>
      <c r="AK1559" s="4"/>
      <c r="AL1559" s="3"/>
      <c r="AM1559" s="4"/>
      <c r="AN1559" s="3"/>
      <c r="AO1559" s="3"/>
      <c r="AP1559" s="4"/>
      <c r="AQ1559" s="3"/>
      <c r="AR1559" s="4"/>
      <c r="AS1559" s="4"/>
      <c r="AT1559" s="4"/>
      <c r="AU1559" s="4"/>
      <c r="AV1559" s="4"/>
      <c r="AW1559" s="4"/>
      <c r="AX1559" s="4"/>
      <c r="AY1559" s="4"/>
      <c r="AZ1559" s="4"/>
      <c r="BA1559" s="4"/>
      <c r="BB1559" s="3"/>
      <c r="BC1559" s="3"/>
      <c r="BD1559" s="3"/>
      <c r="BE1559" s="4"/>
      <c r="BF1559" s="3"/>
      <c r="BG1559" s="4"/>
      <c r="BH1559" s="4"/>
      <c r="BI1559" s="4"/>
      <c r="BJ1559" s="3"/>
      <c r="BK1559" s="4"/>
      <c r="BL1559" s="4"/>
      <c r="BM1559" s="4"/>
      <c r="BN1559" s="4"/>
      <c r="BO1559" s="4"/>
      <c r="BP1559" s="4"/>
      <c r="BQ1559" s="4"/>
      <c r="BR1559" s="4"/>
      <c r="BS1559" s="4"/>
      <c r="BT1559" s="4"/>
      <c r="BU1559" s="4"/>
      <c r="BV1559" s="4"/>
      <c r="BW1559" s="4"/>
      <c r="BX1559" s="4"/>
      <c r="BY1559" s="4"/>
      <c r="BZ1559" s="4"/>
      <c r="CA1559" s="4"/>
      <c r="CB1559" s="4"/>
      <c r="CC1559" s="4"/>
      <c r="CD1559" s="4"/>
      <c r="CE1559" s="4"/>
      <c r="CF1559" s="4"/>
      <c r="CG1559" s="3"/>
      <c r="CH1559" s="3"/>
      <c r="CI1559" s="4"/>
      <c r="CJ1559" s="4"/>
      <c r="CK1559" s="4"/>
      <c r="CL1559" s="4"/>
      <c r="CM1559" s="4"/>
      <c r="CN1559" s="4"/>
      <c r="CO1559" s="4"/>
      <c r="CP1559" s="4"/>
      <c r="CQ1559" s="4"/>
      <c r="CR1559" s="4"/>
      <c r="CS1559" s="4"/>
      <c r="CT1559" s="4"/>
      <c r="CU1559" s="4"/>
      <c r="CV1559" s="4"/>
      <c r="CW1559" s="4"/>
      <c r="CX1559" s="4"/>
      <c r="CY1559" s="4"/>
      <c r="CZ1559" s="4"/>
      <c r="DA1559" s="4"/>
      <c r="DB1559" s="4"/>
      <c r="DC1559" s="4"/>
      <c r="DD1559" s="4"/>
      <c r="DE1559" s="4"/>
      <c r="DF1559" s="4"/>
      <c r="DG1559" s="4"/>
      <c r="DH1559" s="4"/>
      <c r="DI1559" s="4"/>
      <c r="DJ1559" s="4"/>
      <c r="DK1559" s="4"/>
      <c r="DL1559" s="4"/>
      <c r="DM1559" s="4"/>
      <c r="DN1559" s="4"/>
      <c r="DO1559" s="4"/>
      <c r="DP1559" s="4"/>
      <c r="DQ1559" s="4"/>
      <c r="DR1559" s="4"/>
      <c r="DS1559" s="4"/>
      <c r="DT1559" s="4"/>
    </row>
    <row r="1560" spans="1:152" hidden="1">
      <c r="A1560" s="11" t="s">
        <v>9940</v>
      </c>
      <c r="B1560" s="3" t="s">
        <v>8373</v>
      </c>
      <c r="C1560" s="3">
        <v>2009</v>
      </c>
      <c r="D1560" s="3" t="s">
        <v>7305</v>
      </c>
      <c r="E1560" s="3" t="s">
        <v>9122</v>
      </c>
      <c r="F1560" s="3">
        <v>1</v>
      </c>
      <c r="G1560" s="3"/>
      <c r="H1560" s="3" t="s">
        <v>7309</v>
      </c>
      <c r="I1560" s="3"/>
      <c r="J1560" s="3"/>
      <c r="K1560" s="3" t="s">
        <v>878</v>
      </c>
      <c r="L1560" s="4"/>
      <c r="M1560" s="3" t="s">
        <v>8781</v>
      </c>
      <c r="T1560" s="3" t="s">
        <v>7307</v>
      </c>
      <c r="V1560" s="3"/>
      <c r="W1560" s="4"/>
      <c r="X1560" s="5" t="s">
        <v>7310</v>
      </c>
      <c r="Y1560" s="5"/>
      <c r="Z1560" s="3">
        <v>1</v>
      </c>
      <c r="AA1560" s="4"/>
      <c r="AB1560" s="4"/>
      <c r="AE1560" s="3"/>
      <c r="AF1560" s="3"/>
      <c r="AG1560" s="4"/>
      <c r="AH1560" s="4"/>
      <c r="AI1560" s="4"/>
      <c r="AJ1560" s="4"/>
      <c r="AK1560" s="3"/>
      <c r="AL1560" s="3"/>
      <c r="AM1560" s="3"/>
      <c r="AN1560" s="3"/>
      <c r="AO1560" s="4"/>
      <c r="AP1560" s="3"/>
      <c r="AQ1560" s="4"/>
      <c r="AR1560" s="3"/>
      <c r="AS1560" s="3"/>
      <c r="AT1560" s="4"/>
      <c r="AU1560" s="3"/>
      <c r="AV1560" s="4"/>
      <c r="AW1560" s="4"/>
      <c r="AX1560" s="4"/>
      <c r="AY1560" s="4"/>
      <c r="AZ1560" s="4"/>
      <c r="BA1560" s="4"/>
      <c r="BB1560" s="4"/>
      <c r="BC1560" s="4"/>
      <c r="BD1560" s="4"/>
      <c r="BE1560" s="4"/>
      <c r="BF1560" s="3"/>
      <c r="BG1560" s="3"/>
      <c r="BH1560" s="3"/>
      <c r="BI1560" s="4"/>
      <c r="BJ1560" s="3"/>
      <c r="BK1560" s="4"/>
      <c r="BL1560" s="4"/>
      <c r="BM1560" s="3"/>
      <c r="BN1560" s="4"/>
      <c r="BO1560" s="4"/>
      <c r="BP1560" s="4"/>
      <c r="BQ1560" s="4"/>
      <c r="BR1560" s="4"/>
      <c r="BS1560" s="4"/>
      <c r="BT1560" s="4"/>
      <c r="BU1560" s="4"/>
      <c r="BV1560" s="4"/>
      <c r="BW1560" s="4"/>
      <c r="BX1560" s="4"/>
      <c r="BY1560" s="4"/>
      <c r="BZ1560" s="4"/>
      <c r="CA1560" s="4"/>
      <c r="CB1560" s="4"/>
      <c r="CC1560" s="4"/>
      <c r="CD1560" s="4"/>
      <c r="CE1560" s="4"/>
      <c r="CF1560" s="4"/>
      <c r="CG1560" s="4"/>
      <c r="CH1560" s="4"/>
      <c r="CI1560" s="4"/>
      <c r="CJ1560" s="4"/>
      <c r="CK1560" s="4"/>
      <c r="CL1560" s="4"/>
      <c r="CM1560" s="4"/>
      <c r="CN1560" s="4"/>
      <c r="CO1560" s="4"/>
      <c r="CP1560" s="4"/>
      <c r="CQ1560" s="4"/>
      <c r="CR1560" s="4"/>
      <c r="CS1560" s="4"/>
      <c r="CT1560" s="4"/>
      <c r="CU1560" s="4"/>
      <c r="CV1560" s="4"/>
      <c r="CW1560" s="4"/>
      <c r="CX1560" s="4"/>
      <c r="CY1560" s="4"/>
      <c r="CZ1560" s="4"/>
      <c r="DA1560" s="3"/>
      <c r="DB1560" s="3"/>
      <c r="DC1560" s="8"/>
      <c r="DD1560" s="4"/>
      <c r="DE1560" s="4"/>
      <c r="DF1560" s="4"/>
      <c r="DG1560" s="4"/>
      <c r="DH1560" s="8"/>
      <c r="DI1560" s="8"/>
      <c r="DJ1560" s="8"/>
      <c r="DK1560" s="8"/>
      <c r="DL1560" s="4"/>
      <c r="DM1560" s="4"/>
      <c r="DN1560" s="4"/>
      <c r="DO1560" s="4"/>
      <c r="DP1560" s="4"/>
      <c r="DQ1560" s="4"/>
      <c r="DR1560" s="4"/>
      <c r="DS1560" s="4"/>
      <c r="DT1560" s="4"/>
      <c r="DU1560" s="4"/>
      <c r="DV1560" s="4"/>
      <c r="DW1560" s="4"/>
      <c r="DX1560" s="4"/>
      <c r="DY1560" s="4"/>
      <c r="DZ1560" s="4"/>
      <c r="EA1560" s="4"/>
      <c r="EB1560" s="4"/>
      <c r="EC1560" s="4"/>
      <c r="ED1560" s="4"/>
      <c r="EE1560" s="4"/>
      <c r="EF1560" s="8"/>
      <c r="EG1560" s="8"/>
      <c r="EH1560" s="8"/>
      <c r="EI1560" s="8"/>
      <c r="EJ1560" s="8"/>
      <c r="EK1560" s="8"/>
      <c r="EL1560" s="4"/>
      <c r="EM1560" s="4"/>
      <c r="EN1560" s="4"/>
    </row>
    <row r="1561" spans="1:152" hidden="1">
      <c r="A1561" s="11" t="s">
        <v>9940</v>
      </c>
      <c r="B1561" s="3" t="s">
        <v>8373</v>
      </c>
      <c r="C1561" s="3">
        <v>2009</v>
      </c>
      <c r="D1561" s="3" t="s">
        <v>5591</v>
      </c>
      <c r="E1561" s="3" t="s">
        <v>9123</v>
      </c>
      <c r="F1561" s="3">
        <v>1</v>
      </c>
      <c r="G1561" s="3"/>
      <c r="H1561" s="3" t="s">
        <v>5595</v>
      </c>
      <c r="I1561" s="3"/>
      <c r="J1561" s="3"/>
      <c r="K1561" s="3" t="s">
        <v>370</v>
      </c>
      <c r="L1561" s="4"/>
      <c r="M1561" s="3" t="s">
        <v>8582</v>
      </c>
      <c r="T1561" s="3" t="s">
        <v>5593</v>
      </c>
      <c r="V1561" s="3"/>
      <c r="W1561" s="4"/>
      <c r="X1561" s="5" t="s">
        <v>5596</v>
      </c>
      <c r="Y1561" s="5"/>
      <c r="Z1561" s="3">
        <v>1</v>
      </c>
      <c r="AA1561" s="4"/>
      <c r="AB1561" s="4"/>
      <c r="AE1561" s="3"/>
      <c r="AF1561" s="3"/>
      <c r="AG1561" s="4"/>
      <c r="AH1561" s="4"/>
      <c r="AI1561" s="4"/>
      <c r="AJ1561" s="4"/>
      <c r="AK1561" s="3"/>
      <c r="AL1561" s="3"/>
      <c r="AM1561" s="3"/>
      <c r="AN1561" s="3"/>
      <c r="AO1561" s="4"/>
      <c r="AP1561" s="3"/>
      <c r="AQ1561" s="4"/>
      <c r="AR1561" s="3"/>
      <c r="AS1561" s="3"/>
      <c r="AT1561" s="4"/>
      <c r="AU1561" s="3"/>
      <c r="AV1561" s="4"/>
      <c r="AW1561" s="4"/>
      <c r="AX1561" s="4"/>
      <c r="AY1561" s="4"/>
      <c r="AZ1561" s="4"/>
      <c r="BA1561" s="4"/>
      <c r="BB1561" s="4"/>
      <c r="BC1561" s="4"/>
      <c r="BD1561" s="4"/>
      <c r="BE1561" s="4"/>
      <c r="BF1561" s="3"/>
      <c r="BG1561" s="3"/>
      <c r="BH1561" s="3"/>
      <c r="BI1561" s="4"/>
      <c r="BJ1561" s="3"/>
      <c r="BK1561" s="4"/>
      <c r="BL1561" s="4"/>
      <c r="BM1561" s="3"/>
      <c r="BN1561" s="4"/>
      <c r="BO1561" s="4"/>
      <c r="BP1561" s="4"/>
      <c r="BQ1561" s="4"/>
      <c r="BR1561" s="4"/>
      <c r="BS1561" s="4"/>
      <c r="BT1561" s="4"/>
      <c r="BU1561" s="4"/>
      <c r="BV1561" s="4"/>
      <c r="BW1561" s="4"/>
      <c r="BX1561" s="4"/>
      <c r="BY1561" s="4"/>
      <c r="BZ1561" s="4"/>
      <c r="CA1561" s="4"/>
      <c r="CB1561" s="4"/>
      <c r="CC1561" s="4"/>
      <c r="CD1561" s="4"/>
      <c r="CE1561" s="4"/>
      <c r="CF1561" s="4"/>
      <c r="CG1561" s="4"/>
      <c r="CH1561" s="4"/>
      <c r="CI1561" s="4"/>
      <c r="CJ1561" s="4"/>
      <c r="CK1561" s="3"/>
      <c r="CL1561" s="3"/>
      <c r="CM1561" s="8"/>
      <c r="CN1561" s="4"/>
      <c r="CO1561" s="4"/>
      <c r="CP1561" s="4"/>
      <c r="CQ1561" s="4"/>
      <c r="CR1561" s="8"/>
      <c r="CS1561" s="8"/>
      <c r="CT1561" s="8"/>
      <c r="CU1561" s="8"/>
      <c r="CV1561" s="4"/>
      <c r="CW1561" s="4"/>
      <c r="CX1561" s="4"/>
      <c r="CY1561" s="4"/>
      <c r="CZ1561" s="4"/>
      <c r="DA1561" s="4"/>
      <c r="DB1561" s="4"/>
      <c r="DC1561" s="4"/>
      <c r="DD1561" s="4"/>
      <c r="DE1561" s="4"/>
      <c r="DF1561" s="4"/>
      <c r="DG1561" s="4"/>
      <c r="DH1561" s="4"/>
      <c r="DI1561" s="4"/>
      <c r="DJ1561" s="4"/>
      <c r="DK1561" s="4"/>
      <c r="DL1561" s="4"/>
      <c r="DM1561" s="4"/>
      <c r="DN1561" s="4"/>
      <c r="DO1561" s="4"/>
      <c r="DP1561" s="8"/>
      <c r="DQ1561" s="8"/>
      <c r="DR1561" s="8"/>
      <c r="DS1561" s="8"/>
      <c r="DT1561" s="8"/>
      <c r="DU1561" s="8"/>
      <c r="DV1561" s="4"/>
      <c r="DW1561" s="4"/>
      <c r="DX1561" s="4"/>
    </row>
    <row r="1562" spans="1:152" hidden="1">
      <c r="A1562" s="11" t="s">
        <v>9940</v>
      </c>
      <c r="B1562" s="3" t="s">
        <v>8373</v>
      </c>
      <c r="C1562" s="3">
        <v>2009</v>
      </c>
      <c r="D1562" s="3" t="s">
        <v>1728</v>
      </c>
      <c r="E1562" s="3" t="s">
        <v>9830</v>
      </c>
      <c r="F1562" s="3">
        <v>0</v>
      </c>
      <c r="G1562" s="3" t="s">
        <v>9249</v>
      </c>
      <c r="H1562" s="3" t="s">
        <v>9831</v>
      </c>
      <c r="I1562" s="3"/>
      <c r="J1562" s="3"/>
      <c r="K1562" s="3" t="s">
        <v>84</v>
      </c>
      <c r="L1562" s="4"/>
      <c r="M1562" s="3" t="s">
        <v>9047</v>
      </c>
      <c r="T1562" s="3" t="s">
        <v>1730</v>
      </c>
      <c r="V1562" s="4"/>
      <c r="W1562" s="4"/>
      <c r="X1562" s="5" t="s">
        <v>1733</v>
      </c>
      <c r="Y1562" s="5"/>
      <c r="Z1562" s="4"/>
      <c r="AA1562" s="4"/>
      <c r="AB1562" s="4"/>
      <c r="AE1562" s="4"/>
      <c r="AF1562" s="4"/>
      <c r="AG1562" s="3"/>
      <c r="AH1562" s="3"/>
      <c r="AI1562" s="3"/>
      <c r="AJ1562" s="3"/>
      <c r="AK1562" s="4"/>
      <c r="AL1562" s="3"/>
      <c r="AM1562" s="4"/>
      <c r="AN1562" s="3"/>
      <c r="AO1562" s="3"/>
      <c r="AP1562" s="4"/>
      <c r="AQ1562" s="3"/>
      <c r="AR1562" s="4"/>
      <c r="AS1562" s="4"/>
      <c r="AT1562" s="4"/>
      <c r="AU1562" s="4"/>
      <c r="AV1562" s="4"/>
      <c r="AW1562" s="4"/>
      <c r="AX1562" s="4"/>
      <c r="AY1562" s="4"/>
      <c r="AZ1562" s="4"/>
      <c r="BA1562" s="4"/>
      <c r="BB1562" s="3"/>
      <c r="BC1562" s="3"/>
      <c r="BD1562" s="3"/>
      <c r="BE1562" s="4"/>
      <c r="BF1562" s="3"/>
      <c r="BG1562" s="4"/>
      <c r="BH1562" s="4"/>
      <c r="BI1562" s="3"/>
      <c r="BJ1562" s="4"/>
      <c r="BK1562" s="4"/>
      <c r="BL1562" s="4"/>
      <c r="BM1562" s="4"/>
      <c r="BN1562" s="4"/>
      <c r="BO1562" s="4"/>
      <c r="BP1562" s="4"/>
      <c r="BQ1562" s="4"/>
      <c r="BR1562" s="4"/>
      <c r="BS1562" s="4"/>
      <c r="BT1562" s="4"/>
      <c r="BU1562" s="4"/>
      <c r="BV1562" s="4"/>
      <c r="BW1562" s="4"/>
      <c r="BX1562" s="4"/>
      <c r="BY1562" s="4"/>
      <c r="BZ1562" s="4"/>
      <c r="CA1562" s="4"/>
      <c r="CB1562" s="4"/>
      <c r="CC1562" s="4"/>
      <c r="CD1562" s="4"/>
      <c r="CE1562" s="4"/>
      <c r="CF1562" s="4"/>
      <c r="CG1562" s="3"/>
      <c r="CH1562" s="3"/>
      <c r="CI1562" s="4"/>
      <c r="CJ1562" s="4"/>
      <c r="CK1562" s="4"/>
      <c r="CL1562" s="4"/>
      <c r="CM1562" s="4"/>
      <c r="CN1562" s="4"/>
      <c r="CO1562" s="4"/>
      <c r="CP1562" s="4"/>
      <c r="CQ1562" s="4"/>
      <c r="CR1562" s="4"/>
      <c r="CS1562" s="4"/>
      <c r="CT1562" s="4"/>
      <c r="CU1562" s="4"/>
      <c r="CV1562" s="4"/>
      <c r="CW1562" s="4"/>
      <c r="CX1562" s="4"/>
      <c r="CY1562" s="4"/>
      <c r="CZ1562" s="4"/>
      <c r="DA1562" s="4"/>
      <c r="DB1562" s="4"/>
      <c r="DC1562" s="4"/>
      <c r="DD1562" s="4"/>
      <c r="DE1562" s="4"/>
      <c r="DF1562" s="4"/>
      <c r="DG1562" s="4"/>
      <c r="DH1562" s="4"/>
      <c r="DI1562" s="4"/>
      <c r="DJ1562" s="4"/>
      <c r="DK1562" s="4"/>
      <c r="DL1562" s="4"/>
      <c r="DM1562" s="4"/>
      <c r="DN1562" s="4"/>
      <c r="DO1562" s="4"/>
      <c r="DP1562" s="4"/>
      <c r="DQ1562" s="4"/>
      <c r="DR1562" s="4"/>
      <c r="DS1562" s="4"/>
      <c r="DT1562" s="4"/>
    </row>
    <row r="1563" spans="1:152" hidden="1">
      <c r="A1563" s="11" t="s">
        <v>9940</v>
      </c>
      <c r="B1563" s="3" t="s">
        <v>8373</v>
      </c>
      <c r="C1563" s="3">
        <v>2002</v>
      </c>
      <c r="D1563" s="3" t="s">
        <v>9124</v>
      </c>
      <c r="E1563" s="3" t="s">
        <v>9125</v>
      </c>
      <c r="F1563" s="3">
        <v>1</v>
      </c>
      <c r="G1563" s="3"/>
      <c r="H1563" s="3" t="s">
        <v>9128</v>
      </c>
      <c r="I1563" s="3"/>
      <c r="J1563" s="3"/>
      <c r="K1563" s="3" t="s">
        <v>370</v>
      </c>
      <c r="L1563" s="4"/>
      <c r="M1563" s="3" t="s">
        <v>8582</v>
      </c>
      <c r="T1563" s="3" t="s">
        <v>9126</v>
      </c>
      <c r="V1563" s="3"/>
      <c r="W1563" s="4"/>
      <c r="X1563" s="5" t="s">
        <v>9127</v>
      </c>
      <c r="Y1563" s="5"/>
      <c r="Z1563" s="3">
        <v>1</v>
      </c>
      <c r="AA1563" s="4"/>
      <c r="AB1563" s="4"/>
      <c r="AE1563" s="3"/>
      <c r="AF1563" s="3"/>
      <c r="AG1563" s="4"/>
      <c r="AH1563" s="4"/>
      <c r="AI1563" s="4"/>
      <c r="AJ1563" s="4"/>
      <c r="AK1563" s="3"/>
      <c r="AL1563" s="3"/>
      <c r="AM1563" s="3"/>
      <c r="AN1563" s="3"/>
      <c r="AO1563" s="4"/>
      <c r="AP1563" s="3"/>
      <c r="AQ1563" s="4"/>
      <c r="AR1563" s="3"/>
      <c r="AS1563" s="3"/>
      <c r="AT1563" s="4"/>
      <c r="AU1563" s="3"/>
      <c r="AV1563" s="4"/>
      <c r="AW1563" s="4"/>
      <c r="AX1563" s="4"/>
      <c r="AY1563" s="4"/>
      <c r="AZ1563" s="4"/>
      <c r="BA1563" s="4"/>
      <c r="BB1563" s="4"/>
      <c r="BC1563" s="4"/>
      <c r="BD1563" s="4"/>
      <c r="BE1563" s="4"/>
      <c r="BF1563" s="3"/>
      <c r="BG1563" s="3"/>
      <c r="BH1563" s="3"/>
      <c r="BI1563" s="4"/>
      <c r="BJ1563" s="3"/>
      <c r="BK1563" s="4"/>
      <c r="BL1563" s="4"/>
      <c r="BM1563" s="3"/>
      <c r="BN1563" s="4"/>
      <c r="BO1563" s="4"/>
      <c r="BP1563" s="4"/>
      <c r="BQ1563" s="4"/>
      <c r="BR1563" s="4"/>
      <c r="BS1563" s="4"/>
      <c r="BT1563" s="4"/>
      <c r="BU1563" s="4"/>
      <c r="BV1563" s="4"/>
      <c r="BW1563" s="4"/>
      <c r="BX1563" s="4"/>
      <c r="BY1563" s="4"/>
      <c r="BZ1563" s="4"/>
      <c r="CA1563" s="4"/>
      <c r="CB1563" s="4"/>
      <c r="CC1563" s="4"/>
      <c r="CD1563" s="4"/>
      <c r="CE1563" s="4"/>
      <c r="CF1563" s="4"/>
      <c r="CG1563" s="4"/>
      <c r="CH1563" s="4"/>
      <c r="CI1563" s="4"/>
      <c r="CJ1563" s="4"/>
      <c r="CK1563" s="4"/>
      <c r="CL1563" s="4"/>
      <c r="CM1563" s="4"/>
      <c r="CN1563" s="4"/>
      <c r="CO1563" s="4"/>
      <c r="CP1563" s="4"/>
      <c r="CQ1563" s="4"/>
      <c r="CR1563" s="4"/>
      <c r="CS1563" s="4"/>
      <c r="CT1563" s="4"/>
      <c r="CU1563" s="4"/>
      <c r="CV1563" s="4"/>
      <c r="CW1563" s="4"/>
      <c r="CX1563" s="4"/>
      <c r="CY1563" s="4"/>
      <c r="CZ1563" s="3"/>
      <c r="DA1563" s="3"/>
      <c r="DB1563" s="8"/>
      <c r="DC1563" s="4"/>
      <c r="DD1563" s="4"/>
      <c r="DE1563" s="4"/>
      <c r="DF1563" s="4"/>
      <c r="DG1563" s="8"/>
      <c r="DH1563" s="8"/>
      <c r="DI1563" s="8"/>
      <c r="DJ1563" s="8"/>
      <c r="DK1563" s="4"/>
      <c r="DL1563" s="4"/>
      <c r="DM1563" s="4"/>
      <c r="DN1563" s="4"/>
      <c r="DO1563" s="4"/>
      <c r="DP1563" s="4"/>
      <c r="DQ1563" s="4"/>
      <c r="DR1563" s="4"/>
      <c r="DS1563" s="4"/>
      <c r="DT1563" s="4"/>
      <c r="DU1563" s="4"/>
      <c r="DV1563" s="4"/>
      <c r="DW1563" s="4"/>
      <c r="DX1563" s="4"/>
      <c r="DY1563" s="4"/>
      <c r="DZ1563" s="4"/>
      <c r="EA1563" s="4"/>
      <c r="EB1563" s="4"/>
      <c r="EC1563" s="4"/>
      <c r="ED1563" s="4"/>
      <c r="EE1563" s="8"/>
      <c r="EF1563" s="8"/>
      <c r="EG1563" s="8"/>
      <c r="EH1563" s="8"/>
      <c r="EI1563" s="8"/>
      <c r="EJ1563" s="8"/>
      <c r="EK1563" s="4"/>
      <c r="EL1563" s="4"/>
      <c r="EM1563" s="4"/>
    </row>
    <row r="1564" spans="1:152" hidden="1">
      <c r="A1564" s="11" t="s">
        <v>9940</v>
      </c>
      <c r="B1564" s="3" t="s">
        <v>8373</v>
      </c>
      <c r="C1564" s="3">
        <v>1998</v>
      </c>
      <c r="D1564" s="3" t="s">
        <v>9832</v>
      </c>
      <c r="E1564" s="3" t="s">
        <v>9833</v>
      </c>
      <c r="F1564" s="3">
        <v>1</v>
      </c>
      <c r="G1564" s="3"/>
      <c r="H1564" s="3" t="s">
        <v>9836</v>
      </c>
      <c r="I1564" s="3"/>
      <c r="J1564" s="3"/>
      <c r="K1564" s="3" t="s">
        <v>4509</v>
      </c>
      <c r="L1564" s="4"/>
      <c r="M1564" s="3" t="s">
        <v>9659</v>
      </c>
      <c r="T1564" s="3" t="s">
        <v>9834</v>
      </c>
      <c r="V1564" s="3"/>
      <c r="W1564" s="3"/>
      <c r="X1564" s="5" t="s">
        <v>9835</v>
      </c>
      <c r="Y1564" s="5"/>
      <c r="Z1564" s="3">
        <v>0</v>
      </c>
      <c r="AA1564" s="3" t="s">
        <v>9237</v>
      </c>
      <c r="AB1564" s="4"/>
      <c r="AE1564" s="3"/>
      <c r="AF1564" s="4"/>
      <c r="AG1564" s="4"/>
      <c r="AH1564" s="4"/>
      <c r="AI1564" s="4"/>
      <c r="AJ1564" s="4"/>
      <c r="AK1564" s="3"/>
      <c r="AL1564" s="3"/>
      <c r="AM1564" s="3"/>
      <c r="AN1564" s="3"/>
      <c r="AO1564" s="4"/>
      <c r="AP1564" s="3"/>
      <c r="AQ1564" s="4"/>
      <c r="AR1564" s="3"/>
      <c r="AS1564" s="3"/>
      <c r="AT1564" s="4"/>
      <c r="AU1564" s="3"/>
      <c r="AV1564" s="4"/>
      <c r="AW1564" s="4"/>
      <c r="AX1564" s="4"/>
      <c r="AY1564" s="4"/>
      <c r="AZ1564" s="4"/>
      <c r="BA1564" s="4"/>
      <c r="BB1564" s="4"/>
      <c r="BC1564" s="4"/>
      <c r="BD1564" s="4"/>
      <c r="BE1564" s="4"/>
      <c r="BF1564" s="3"/>
      <c r="BG1564" s="3"/>
      <c r="BH1564" s="3"/>
      <c r="BI1564" s="4"/>
      <c r="BJ1564" s="3"/>
      <c r="BK1564" s="4"/>
      <c r="BL1564" s="4"/>
      <c r="BM1564" s="3"/>
      <c r="BN1564" s="4"/>
      <c r="BO1564" s="4"/>
      <c r="BP1564" s="4"/>
      <c r="BQ1564" s="4"/>
      <c r="BR1564" s="4"/>
      <c r="BS1564" s="4"/>
      <c r="BT1564" s="4"/>
      <c r="BU1564" s="4"/>
      <c r="BV1564" s="3"/>
      <c r="BW1564" s="3"/>
      <c r="BX1564" s="4"/>
      <c r="BY1564" s="4"/>
      <c r="BZ1564" s="4"/>
      <c r="CA1564" s="4"/>
      <c r="CB1564" s="4"/>
      <c r="CC1564" s="4"/>
      <c r="CD1564" s="4"/>
      <c r="CE1564" s="4"/>
      <c r="CF1564" s="4"/>
      <c r="CG1564" s="4"/>
      <c r="CH1564" s="4"/>
      <c r="CI1564" s="4"/>
      <c r="CJ1564" s="4"/>
      <c r="CK1564" s="4"/>
      <c r="CL1564" s="4"/>
      <c r="CM1564" s="4"/>
      <c r="CN1564" s="4"/>
      <c r="CO1564" s="4"/>
      <c r="CP1564" s="4"/>
      <c r="CQ1564" s="4"/>
      <c r="CR1564" s="4"/>
      <c r="CS1564" s="4"/>
      <c r="CT1564" s="4"/>
      <c r="CU1564" s="4"/>
      <c r="CV1564" s="4"/>
      <c r="CW1564" s="4"/>
      <c r="CX1564" s="4"/>
      <c r="CY1564" s="4"/>
      <c r="CZ1564" s="4"/>
      <c r="DA1564" s="4"/>
      <c r="DB1564" s="4"/>
      <c r="DC1564" s="4"/>
      <c r="DD1564" s="4"/>
      <c r="DE1564" s="4"/>
      <c r="DF1564" s="4"/>
      <c r="DG1564" s="4"/>
      <c r="DH1564" s="4"/>
      <c r="DI1564" s="4"/>
    </row>
    <row r="1565" spans="1:152" hidden="1">
      <c r="A1565" s="11" t="s">
        <v>9940</v>
      </c>
      <c r="B1565" s="3" t="s">
        <v>8373</v>
      </c>
      <c r="C1565" s="3">
        <v>2015</v>
      </c>
      <c r="D1565" s="3" t="s">
        <v>2015</v>
      </c>
      <c r="E1565" s="3" t="s">
        <v>9837</v>
      </c>
      <c r="F1565" s="3">
        <v>1</v>
      </c>
      <c r="G1565" s="3"/>
      <c r="H1565" s="3" t="s">
        <v>9838</v>
      </c>
      <c r="I1565" s="3"/>
      <c r="J1565" s="3"/>
      <c r="K1565" s="3" t="s">
        <v>40</v>
      </c>
      <c r="L1565" s="4"/>
      <c r="M1565" s="3" t="s">
        <v>8500</v>
      </c>
      <c r="T1565" s="3" t="s">
        <v>2017</v>
      </c>
      <c r="V1565" s="3"/>
      <c r="W1565" s="3"/>
      <c r="X1565" s="5" t="s">
        <v>2020</v>
      </c>
      <c r="Y1565" s="5"/>
      <c r="Z1565" s="3">
        <v>0</v>
      </c>
      <c r="AA1565" s="3" t="s">
        <v>9178</v>
      </c>
      <c r="AB1565" s="4"/>
      <c r="AE1565" s="3"/>
      <c r="AF1565" s="4"/>
      <c r="AG1565" s="4"/>
      <c r="AH1565" s="4"/>
      <c r="AI1565" s="4"/>
      <c r="AJ1565" s="4"/>
      <c r="AK1565" s="3"/>
      <c r="AL1565" s="3"/>
      <c r="AM1565" s="3"/>
      <c r="AN1565" s="3"/>
      <c r="AO1565" s="4"/>
      <c r="AP1565" s="3"/>
      <c r="AQ1565" s="4"/>
      <c r="AR1565" s="3"/>
      <c r="AS1565" s="3"/>
      <c r="AT1565" s="4"/>
      <c r="AU1565" s="3"/>
      <c r="AV1565" s="4"/>
      <c r="AW1565" s="4"/>
      <c r="AX1565" s="4"/>
      <c r="AY1565" s="4"/>
      <c r="AZ1565" s="4"/>
      <c r="BA1565" s="4"/>
      <c r="BB1565" s="4"/>
      <c r="BC1565" s="4"/>
      <c r="BD1565" s="4"/>
      <c r="BE1565" s="4"/>
      <c r="BF1565" s="3"/>
      <c r="BG1565" s="3"/>
      <c r="BH1565" s="3"/>
      <c r="BI1565" s="4"/>
      <c r="BJ1565" s="3"/>
      <c r="BK1565" s="4"/>
      <c r="BL1565" s="4"/>
      <c r="BM1565" s="4"/>
      <c r="BN1565" s="3"/>
      <c r="BO1565" s="4"/>
      <c r="BP1565" s="4"/>
      <c r="BQ1565" s="4"/>
      <c r="BR1565" s="4"/>
      <c r="BS1565" s="4"/>
      <c r="BT1565" s="4"/>
      <c r="BU1565" s="4"/>
      <c r="BV1565" s="4"/>
      <c r="BW1565" s="4"/>
      <c r="BX1565" s="4"/>
      <c r="BY1565" s="4"/>
      <c r="BZ1565" s="4"/>
      <c r="CA1565" s="4"/>
      <c r="CB1565" s="4"/>
      <c r="CC1565" s="4"/>
      <c r="CD1565" s="4"/>
      <c r="CE1565" s="4"/>
      <c r="CF1565" s="4"/>
      <c r="CG1565" s="4"/>
      <c r="CH1565" s="4"/>
      <c r="CI1565" s="4"/>
      <c r="CJ1565" s="4"/>
      <c r="CK1565" s="4"/>
      <c r="CL1565" s="4"/>
      <c r="CM1565" s="4"/>
      <c r="CN1565" s="4"/>
      <c r="CO1565" s="4"/>
      <c r="CP1565" s="4"/>
      <c r="CQ1565" s="4"/>
      <c r="CR1565" s="4"/>
      <c r="CS1565" s="4"/>
      <c r="CT1565" s="4"/>
      <c r="CU1565" s="4"/>
      <c r="CV1565" s="4"/>
      <c r="CW1565" s="4"/>
      <c r="CX1565" s="4"/>
      <c r="CY1565" s="4"/>
      <c r="CZ1565" s="4"/>
      <c r="DA1565" s="4"/>
      <c r="DB1565" s="4"/>
      <c r="DC1565" s="4"/>
      <c r="DD1565" s="4"/>
      <c r="DE1565" s="4"/>
      <c r="DF1565" s="4"/>
      <c r="DG1565" s="4"/>
      <c r="DH1565" s="4"/>
      <c r="DI1565" s="3"/>
      <c r="DJ1565" s="3"/>
      <c r="DK1565" s="4"/>
      <c r="DL1565" s="4"/>
      <c r="DM1565" s="4"/>
      <c r="DN1565" s="4"/>
      <c r="DO1565" s="4"/>
      <c r="DP1565" s="4"/>
      <c r="DQ1565" s="4"/>
      <c r="DR1565" s="4"/>
      <c r="DS1565" s="4"/>
      <c r="DT1565" s="4"/>
      <c r="DU1565" s="4"/>
      <c r="DV1565" s="4"/>
      <c r="DW1565" s="4"/>
      <c r="DX1565" s="4"/>
      <c r="DY1565" s="4"/>
      <c r="DZ1565" s="4"/>
      <c r="EA1565" s="4"/>
      <c r="EB1565" s="4"/>
      <c r="EC1565" s="4"/>
      <c r="ED1565" s="4"/>
      <c r="EE1565" s="4"/>
      <c r="EF1565" s="4"/>
      <c r="EG1565" s="4"/>
      <c r="EH1565" s="4"/>
      <c r="EI1565" s="4"/>
      <c r="EJ1565" s="4"/>
      <c r="EK1565" s="4"/>
      <c r="EL1565" s="4"/>
      <c r="EM1565" s="4"/>
      <c r="EN1565" s="4"/>
      <c r="EO1565" s="4"/>
      <c r="EP1565" s="4"/>
      <c r="EQ1565" s="4"/>
      <c r="ER1565" s="4"/>
      <c r="ES1565" s="4"/>
      <c r="ET1565" s="4"/>
      <c r="EU1565" s="4"/>
      <c r="EV1565" s="4"/>
    </row>
    <row r="1566" spans="1:152" hidden="1">
      <c r="A1566" s="11" t="s">
        <v>9940</v>
      </c>
      <c r="B1566" s="3" t="s">
        <v>8373</v>
      </c>
      <c r="C1566" s="3">
        <v>2000</v>
      </c>
      <c r="D1566" s="3" t="s">
        <v>9839</v>
      </c>
      <c r="E1566" s="3" t="s">
        <v>9840</v>
      </c>
      <c r="F1566" s="3">
        <v>0</v>
      </c>
      <c r="G1566" s="3" t="s">
        <v>9237</v>
      </c>
      <c r="H1566" s="3" t="s">
        <v>9845</v>
      </c>
      <c r="I1566" s="3"/>
      <c r="J1566" s="3"/>
      <c r="K1566" s="3" t="s">
        <v>9841</v>
      </c>
      <c r="L1566" s="4"/>
      <c r="M1566" s="3" t="s">
        <v>9842</v>
      </c>
      <c r="T1566" s="3" t="s">
        <v>9843</v>
      </c>
      <c r="V1566" s="4"/>
      <c r="W1566" s="4"/>
      <c r="X1566" s="5" t="s">
        <v>9844</v>
      </c>
      <c r="Y1566" s="5"/>
      <c r="Z1566" s="4"/>
      <c r="AA1566" s="4"/>
      <c r="AB1566" s="4"/>
      <c r="AE1566" s="4"/>
      <c r="AF1566" s="4"/>
      <c r="AG1566" s="3"/>
      <c r="AH1566" s="3"/>
      <c r="AI1566" s="3"/>
      <c r="AJ1566" s="3"/>
      <c r="AK1566" s="4"/>
      <c r="AL1566" s="3"/>
      <c r="AM1566" s="4"/>
      <c r="AN1566" s="3"/>
      <c r="AO1566" s="3"/>
      <c r="AP1566" s="4"/>
      <c r="AQ1566" s="3"/>
      <c r="AR1566" s="4"/>
      <c r="AS1566" s="4"/>
      <c r="AT1566" s="4"/>
      <c r="AU1566" s="4"/>
      <c r="AV1566" s="4"/>
      <c r="AW1566" s="4"/>
      <c r="AX1566" s="4"/>
      <c r="AY1566" s="4"/>
      <c r="AZ1566" s="4"/>
      <c r="BA1566" s="4"/>
      <c r="BB1566" s="3"/>
      <c r="BC1566" s="3"/>
      <c r="BD1566" s="3"/>
      <c r="BE1566" s="4"/>
      <c r="BF1566" s="3"/>
      <c r="BG1566" s="4"/>
      <c r="BH1566" s="4"/>
      <c r="BI1566" s="3"/>
      <c r="BJ1566" s="4"/>
      <c r="BK1566" s="4"/>
      <c r="BL1566" s="4"/>
      <c r="BM1566" s="4"/>
      <c r="BN1566" s="4"/>
      <c r="BO1566" s="4"/>
      <c r="BP1566" s="4"/>
      <c r="BQ1566" s="4"/>
      <c r="BR1566" s="4"/>
      <c r="BS1566" s="4"/>
      <c r="BT1566" s="4"/>
      <c r="BU1566" s="4"/>
      <c r="BV1566" s="4"/>
      <c r="BW1566" s="4"/>
      <c r="BX1566" s="4"/>
      <c r="BY1566" s="4"/>
      <c r="BZ1566" s="4"/>
      <c r="CA1566" s="4"/>
      <c r="CB1566" s="4"/>
      <c r="CC1566" s="4"/>
      <c r="CD1566" s="4"/>
      <c r="CE1566" s="4"/>
      <c r="CF1566" s="4"/>
      <c r="CG1566" s="4"/>
      <c r="CH1566" s="4"/>
      <c r="CI1566" s="4"/>
      <c r="CJ1566" s="4"/>
      <c r="CK1566" s="4"/>
      <c r="CL1566" s="4"/>
      <c r="CM1566" s="4"/>
      <c r="CN1566" s="4"/>
      <c r="CO1566" s="4"/>
      <c r="CP1566" s="4"/>
      <c r="CQ1566" s="3"/>
      <c r="CR1566" s="3"/>
      <c r="CS1566" s="4"/>
      <c r="CT1566" s="4"/>
      <c r="CU1566" s="4"/>
      <c r="CV1566" s="4"/>
      <c r="CW1566" s="4"/>
      <c r="CX1566" s="4"/>
      <c r="CY1566" s="4"/>
      <c r="CZ1566" s="4"/>
      <c r="DA1566" s="4"/>
      <c r="DB1566" s="4"/>
      <c r="DC1566" s="4"/>
      <c r="DD1566" s="4"/>
      <c r="DE1566" s="4"/>
      <c r="DF1566" s="4"/>
      <c r="DG1566" s="4"/>
      <c r="DH1566" s="4"/>
      <c r="DI1566" s="4"/>
      <c r="DJ1566" s="4"/>
      <c r="DK1566" s="4"/>
      <c r="DL1566" s="4"/>
      <c r="DM1566" s="4"/>
      <c r="DN1566" s="4"/>
      <c r="DO1566" s="4"/>
      <c r="DP1566" s="4"/>
      <c r="DQ1566" s="4"/>
      <c r="DR1566" s="4"/>
      <c r="DS1566" s="4"/>
      <c r="DT1566" s="4"/>
      <c r="DU1566" s="4"/>
      <c r="DV1566" s="4"/>
      <c r="DW1566" s="4"/>
      <c r="DX1566" s="4"/>
      <c r="DY1566" s="4"/>
      <c r="DZ1566" s="4"/>
      <c r="EA1566" s="4"/>
      <c r="EB1566" s="4"/>
      <c r="EC1566" s="4"/>
      <c r="ED1566" s="4"/>
    </row>
    <row r="1567" spans="1:152" hidden="1">
      <c r="A1567" s="11" t="s">
        <v>9940</v>
      </c>
      <c r="B1567" s="3" t="s">
        <v>8373</v>
      </c>
      <c r="C1567" s="3">
        <v>2008</v>
      </c>
      <c r="D1567" s="3" t="s">
        <v>7356</v>
      </c>
      <c r="E1567" s="3" t="s">
        <v>9846</v>
      </c>
      <c r="F1567" s="3">
        <v>0</v>
      </c>
      <c r="G1567" s="3" t="s">
        <v>9178</v>
      </c>
      <c r="H1567" s="3" t="s">
        <v>9847</v>
      </c>
      <c r="I1567" s="3"/>
      <c r="J1567" s="3"/>
      <c r="K1567" s="3" t="s">
        <v>40</v>
      </c>
      <c r="L1567" s="4"/>
      <c r="M1567" s="3" t="s">
        <v>8500</v>
      </c>
      <c r="T1567" s="3" t="s">
        <v>7358</v>
      </c>
      <c r="V1567" s="4"/>
      <c r="W1567" s="4"/>
      <c r="X1567" s="5" t="s">
        <v>7361</v>
      </c>
      <c r="Y1567" s="5"/>
      <c r="Z1567" s="4"/>
      <c r="AA1567" s="4"/>
      <c r="AB1567" s="4"/>
      <c r="AE1567" s="4"/>
      <c r="AF1567" s="4"/>
      <c r="AG1567" s="3"/>
      <c r="AH1567" s="3"/>
      <c r="AI1567" s="3"/>
      <c r="AJ1567" s="3"/>
      <c r="AK1567" s="4"/>
      <c r="AL1567" s="3"/>
      <c r="AM1567" s="4"/>
      <c r="AN1567" s="3"/>
      <c r="AO1567" s="3"/>
      <c r="AP1567" s="4"/>
      <c r="AQ1567" s="3"/>
      <c r="AR1567" s="4"/>
      <c r="AS1567" s="4"/>
      <c r="AT1567" s="4"/>
      <c r="AU1567" s="4"/>
      <c r="AV1567" s="4"/>
      <c r="AW1567" s="4"/>
      <c r="AX1567" s="4"/>
      <c r="AY1567" s="4"/>
      <c r="AZ1567" s="4"/>
      <c r="BA1567" s="4"/>
      <c r="BB1567" s="3"/>
      <c r="BC1567" s="3"/>
      <c r="BD1567" s="3"/>
      <c r="BE1567" s="4"/>
      <c r="BF1567" s="3"/>
      <c r="BG1567" s="4"/>
      <c r="BH1567" s="4"/>
      <c r="BI1567" s="4"/>
      <c r="BJ1567" s="3"/>
      <c r="BK1567" s="4"/>
      <c r="BL1567" s="4"/>
      <c r="BM1567" s="4"/>
      <c r="BN1567" s="4"/>
      <c r="BO1567" s="4"/>
      <c r="BP1567" s="4"/>
      <c r="BQ1567" s="4"/>
      <c r="BR1567" s="4"/>
      <c r="BS1567" s="4"/>
      <c r="BT1567" s="4"/>
      <c r="BU1567" s="4"/>
      <c r="BV1567" s="4"/>
      <c r="BW1567" s="4"/>
      <c r="BX1567" s="4"/>
      <c r="BY1567" s="4"/>
      <c r="BZ1567" s="4"/>
      <c r="CA1567" s="4"/>
      <c r="CB1567" s="4"/>
      <c r="CC1567" s="4"/>
      <c r="CD1567" s="4"/>
      <c r="CE1567" s="4"/>
      <c r="CF1567" s="4"/>
      <c r="CG1567" s="3"/>
      <c r="CH1567" s="3"/>
      <c r="CI1567" s="4"/>
      <c r="CJ1567" s="4"/>
      <c r="CK1567" s="4"/>
      <c r="CL1567" s="4"/>
      <c r="CM1567" s="4"/>
      <c r="CN1567" s="4"/>
      <c r="CO1567" s="4"/>
      <c r="CP1567" s="4"/>
      <c r="CQ1567" s="4"/>
      <c r="CR1567" s="4"/>
      <c r="CS1567" s="4"/>
      <c r="CT1567" s="4"/>
      <c r="CU1567" s="4"/>
      <c r="CV1567" s="4"/>
      <c r="CW1567" s="4"/>
      <c r="CX1567" s="4"/>
      <c r="CY1567" s="4"/>
      <c r="CZ1567" s="4"/>
      <c r="DA1567" s="4"/>
      <c r="DB1567" s="4"/>
      <c r="DC1567" s="4"/>
      <c r="DD1567" s="4"/>
      <c r="DE1567" s="4"/>
      <c r="DF1567" s="4"/>
      <c r="DG1567" s="4"/>
      <c r="DH1567" s="4"/>
      <c r="DI1567" s="4"/>
      <c r="DJ1567" s="4"/>
      <c r="DK1567" s="4"/>
      <c r="DL1567" s="4"/>
      <c r="DM1567" s="4"/>
      <c r="DN1567" s="4"/>
      <c r="DO1567" s="4"/>
      <c r="DP1567" s="4"/>
      <c r="DQ1567" s="4"/>
      <c r="DR1567" s="4"/>
      <c r="DS1567" s="4"/>
      <c r="DT1567" s="4"/>
    </row>
    <row r="1568" spans="1:152" hidden="1">
      <c r="A1568" s="11" t="s">
        <v>9940</v>
      </c>
      <c r="B1568" s="3" t="s">
        <v>8373</v>
      </c>
      <c r="C1568" s="3">
        <v>2005</v>
      </c>
      <c r="D1568" s="3" t="s">
        <v>9848</v>
      </c>
      <c r="E1568" s="3" t="s">
        <v>9849</v>
      </c>
      <c r="F1568" s="3">
        <v>0</v>
      </c>
      <c r="G1568" s="3" t="s">
        <v>9237</v>
      </c>
      <c r="H1568" s="3" t="s">
        <v>9852</v>
      </c>
      <c r="I1568" s="3"/>
      <c r="J1568" s="3"/>
      <c r="K1568" s="3" t="s">
        <v>485</v>
      </c>
      <c r="L1568" s="4"/>
      <c r="M1568" s="3" t="s">
        <v>8697</v>
      </c>
      <c r="T1568" s="3" t="s">
        <v>9850</v>
      </c>
      <c r="V1568" s="4"/>
      <c r="W1568" s="4"/>
      <c r="X1568" s="5" t="s">
        <v>9851</v>
      </c>
      <c r="Y1568" s="5"/>
      <c r="Z1568" s="4"/>
      <c r="AA1568" s="4"/>
      <c r="AB1568" s="4"/>
      <c r="AE1568" s="4"/>
      <c r="AF1568" s="4"/>
      <c r="AG1568" s="3"/>
      <c r="AH1568" s="3"/>
      <c r="AI1568" s="3"/>
      <c r="AJ1568" s="3"/>
      <c r="AK1568" s="4"/>
      <c r="AL1568" s="3"/>
      <c r="AM1568" s="4"/>
      <c r="AN1568" s="3"/>
      <c r="AO1568" s="3"/>
      <c r="AP1568" s="4"/>
      <c r="AQ1568" s="3"/>
      <c r="AR1568" s="4"/>
      <c r="AS1568" s="4"/>
      <c r="AT1568" s="4"/>
      <c r="AU1568" s="4"/>
      <c r="AV1568" s="4"/>
      <c r="AW1568" s="4"/>
      <c r="AX1568" s="4"/>
      <c r="AY1568" s="4"/>
      <c r="AZ1568" s="4"/>
      <c r="BA1568" s="4"/>
      <c r="BB1568" s="3"/>
      <c r="BC1568" s="3"/>
      <c r="BD1568" s="3"/>
      <c r="BE1568" s="4"/>
      <c r="BF1568" s="3"/>
      <c r="BG1568" s="4"/>
      <c r="BH1568" s="4"/>
      <c r="BI1568" s="4"/>
      <c r="BJ1568" s="3"/>
      <c r="BK1568" s="4"/>
      <c r="BL1568" s="4"/>
      <c r="BM1568" s="4"/>
      <c r="BN1568" s="4"/>
      <c r="BO1568" s="4"/>
      <c r="BP1568" s="4"/>
      <c r="BQ1568" s="4"/>
      <c r="BR1568" s="4"/>
      <c r="BS1568" s="4"/>
      <c r="BT1568" s="4"/>
      <c r="BU1568" s="4"/>
      <c r="BV1568" s="4"/>
      <c r="BW1568" s="4"/>
      <c r="BX1568" s="4"/>
      <c r="BY1568" s="4"/>
      <c r="BZ1568" s="4"/>
      <c r="CA1568" s="4"/>
      <c r="CB1568" s="4"/>
      <c r="CC1568" s="4"/>
      <c r="CD1568" s="4"/>
      <c r="CE1568" s="4"/>
      <c r="CF1568" s="4"/>
      <c r="CG1568" s="4"/>
      <c r="CH1568" s="3"/>
      <c r="CI1568" s="3"/>
      <c r="CJ1568" s="4"/>
      <c r="CK1568" s="4"/>
      <c r="CL1568" s="4"/>
      <c r="CM1568" s="4"/>
      <c r="CN1568" s="4"/>
      <c r="CO1568" s="4"/>
      <c r="CP1568" s="4"/>
      <c r="CQ1568" s="4"/>
      <c r="CR1568" s="4"/>
      <c r="CS1568" s="4"/>
      <c r="CT1568" s="4"/>
      <c r="CU1568" s="4"/>
      <c r="CV1568" s="4"/>
      <c r="CW1568" s="4"/>
      <c r="CX1568" s="4"/>
      <c r="CY1568" s="4"/>
      <c r="CZ1568" s="4"/>
      <c r="DA1568" s="4"/>
      <c r="DB1568" s="4"/>
      <c r="DC1568" s="4"/>
      <c r="DD1568" s="4"/>
      <c r="DE1568" s="4"/>
      <c r="DF1568" s="4"/>
      <c r="DG1568" s="4"/>
      <c r="DH1568" s="4"/>
      <c r="DI1568" s="4"/>
      <c r="DJ1568" s="4"/>
      <c r="DK1568" s="4"/>
      <c r="DL1568" s="4"/>
      <c r="DM1568" s="4"/>
      <c r="DN1568" s="4"/>
      <c r="DO1568" s="4"/>
      <c r="DP1568" s="4"/>
      <c r="DQ1568" s="4"/>
      <c r="DR1568" s="4"/>
      <c r="DS1568" s="4"/>
      <c r="DT1568" s="4"/>
      <c r="DU1568" s="4"/>
    </row>
    <row r="1569" spans="1:150" hidden="1">
      <c r="A1569" s="11" t="s">
        <v>9940</v>
      </c>
      <c r="B1569" s="3" t="s">
        <v>8373</v>
      </c>
      <c r="C1569" s="3">
        <v>2000</v>
      </c>
      <c r="D1569" s="3" t="s">
        <v>9853</v>
      </c>
      <c r="E1569" s="3" t="s">
        <v>9854</v>
      </c>
      <c r="F1569" s="3">
        <v>1</v>
      </c>
      <c r="G1569" s="3"/>
      <c r="H1569" s="3" t="s">
        <v>9857</v>
      </c>
      <c r="I1569" s="3"/>
      <c r="J1569" s="3"/>
      <c r="K1569" s="3" t="s">
        <v>5361</v>
      </c>
      <c r="L1569" s="4"/>
      <c r="M1569" s="3" t="s">
        <v>8814</v>
      </c>
      <c r="T1569" s="3" t="s">
        <v>9855</v>
      </c>
      <c r="V1569" s="3"/>
      <c r="W1569" s="3"/>
      <c r="X1569" s="5" t="s">
        <v>9856</v>
      </c>
      <c r="Y1569" s="5"/>
      <c r="Z1569" s="3">
        <v>0</v>
      </c>
      <c r="AA1569" s="3" t="s">
        <v>9265</v>
      </c>
      <c r="AB1569" s="4"/>
      <c r="AE1569" s="3"/>
      <c r="AF1569" s="4"/>
      <c r="AG1569" s="4"/>
      <c r="AH1569" s="4"/>
      <c r="AI1569" s="4"/>
      <c r="AJ1569" s="4"/>
      <c r="AK1569" s="3"/>
      <c r="AL1569" s="3"/>
      <c r="AM1569" s="3"/>
      <c r="AN1569" s="3"/>
      <c r="AO1569" s="4"/>
      <c r="AP1569" s="12"/>
      <c r="AQ1569" s="4"/>
      <c r="AR1569" s="3"/>
      <c r="AS1569" s="3"/>
      <c r="AT1569" s="4"/>
      <c r="AU1569" s="3"/>
      <c r="AV1569" s="4"/>
      <c r="AW1569" s="4"/>
      <c r="AX1569" s="4"/>
      <c r="AY1569" s="4"/>
      <c r="AZ1569" s="4"/>
      <c r="BA1569" s="4"/>
      <c r="BB1569" s="4"/>
      <c r="BC1569" s="4"/>
      <c r="BD1569" s="4"/>
      <c r="BE1569" s="4"/>
      <c r="BF1569" s="3"/>
      <c r="BG1569" s="3"/>
      <c r="BH1569" s="3"/>
      <c r="BI1569" s="4"/>
      <c r="BJ1569" s="3"/>
      <c r="BK1569" s="4"/>
      <c r="BL1569" s="4"/>
      <c r="BM1569" s="3"/>
      <c r="BN1569" s="4"/>
      <c r="BO1569" s="4"/>
      <c r="BP1569" s="4"/>
      <c r="BQ1569" s="4"/>
      <c r="BR1569" s="4"/>
      <c r="BS1569" s="4"/>
      <c r="BT1569" s="4"/>
      <c r="BU1569" s="4"/>
      <c r="BV1569" s="4"/>
      <c r="BW1569" s="4"/>
      <c r="BX1569" s="4"/>
      <c r="BY1569" s="4"/>
      <c r="BZ1569" s="4"/>
      <c r="CA1569" s="4"/>
      <c r="CB1569" s="4"/>
      <c r="CC1569" s="4"/>
      <c r="CD1569" s="4"/>
      <c r="CE1569" s="4"/>
      <c r="CF1569" s="4"/>
      <c r="CG1569" s="4"/>
      <c r="CH1569" s="4"/>
      <c r="CI1569" s="4"/>
      <c r="CJ1569" s="4"/>
      <c r="CK1569" s="4"/>
      <c r="CL1569" s="4"/>
      <c r="CM1569" s="4"/>
      <c r="CN1569" s="4"/>
      <c r="CO1569" s="4"/>
      <c r="CP1569" s="4"/>
      <c r="CQ1569" s="4"/>
      <c r="CR1569" s="4"/>
      <c r="CS1569" s="4"/>
      <c r="CT1569" s="4"/>
      <c r="CU1569" s="4"/>
      <c r="CV1569" s="3"/>
      <c r="CW1569" s="3"/>
      <c r="CX1569" s="4"/>
      <c r="CY1569" s="4"/>
      <c r="CZ1569" s="4"/>
      <c r="DA1569" s="4"/>
      <c r="DB1569" s="4"/>
      <c r="DC1569" s="4"/>
      <c r="DD1569" s="4"/>
      <c r="DE1569" s="4"/>
      <c r="DF1569" s="4"/>
      <c r="DG1569" s="4"/>
      <c r="DH1569" s="4"/>
      <c r="DI1569" s="4"/>
      <c r="DJ1569" s="4"/>
      <c r="DK1569" s="4"/>
      <c r="DL1569" s="4"/>
      <c r="DM1569" s="4"/>
      <c r="DN1569" s="4"/>
      <c r="DO1569" s="4"/>
      <c r="DP1569" s="4"/>
      <c r="DQ1569" s="4"/>
      <c r="DR1569" s="4"/>
      <c r="DS1569" s="4"/>
      <c r="DT1569" s="4"/>
      <c r="DU1569" s="4"/>
      <c r="DV1569" s="4"/>
      <c r="DW1569" s="4"/>
      <c r="DX1569" s="4"/>
      <c r="DY1569" s="4"/>
      <c r="DZ1569" s="4"/>
      <c r="EA1569" s="4"/>
      <c r="EB1569" s="4"/>
      <c r="EC1569" s="4"/>
      <c r="ED1569" s="4"/>
      <c r="EE1569" s="4"/>
      <c r="EF1569" s="4"/>
      <c r="EG1569" s="4"/>
      <c r="EH1569" s="4"/>
      <c r="EI1569" s="4"/>
    </row>
    <row r="1570" spans="1:150" hidden="1">
      <c r="A1570" s="11" t="s">
        <v>9940</v>
      </c>
      <c r="B1570" s="3" t="s">
        <v>8373</v>
      </c>
      <c r="C1570" s="3">
        <v>2005</v>
      </c>
      <c r="D1570" s="3" t="s">
        <v>3364</v>
      </c>
      <c r="E1570" s="3" t="s">
        <v>9129</v>
      </c>
      <c r="F1570" s="3">
        <v>1</v>
      </c>
      <c r="G1570" s="3"/>
      <c r="H1570" s="3" t="s">
        <v>3368</v>
      </c>
      <c r="I1570" s="3"/>
      <c r="J1570" s="3"/>
      <c r="K1570" s="3" t="s">
        <v>2533</v>
      </c>
      <c r="L1570" s="4"/>
      <c r="M1570" s="3" t="s">
        <v>9130</v>
      </c>
      <c r="T1570" s="3" t="s">
        <v>3366</v>
      </c>
      <c r="V1570" s="3"/>
      <c r="W1570" s="4"/>
      <c r="X1570" s="5" t="s">
        <v>3369</v>
      </c>
      <c r="Y1570" s="5"/>
      <c r="Z1570" s="3">
        <v>1</v>
      </c>
      <c r="AA1570" s="4"/>
      <c r="AB1570" s="4"/>
      <c r="AE1570" s="3"/>
      <c r="AF1570" s="3"/>
      <c r="AG1570" s="4"/>
      <c r="AH1570" s="4"/>
      <c r="AI1570" s="4"/>
      <c r="AJ1570" s="4"/>
      <c r="AK1570" s="3"/>
      <c r="AL1570" s="3"/>
      <c r="AM1570" s="3"/>
      <c r="AN1570" s="3"/>
      <c r="AO1570" s="4"/>
      <c r="AP1570" s="3"/>
      <c r="AQ1570" s="4"/>
      <c r="AR1570" s="3"/>
      <c r="AS1570" s="3"/>
      <c r="AT1570" s="4"/>
      <c r="AU1570" s="3"/>
      <c r="AV1570" s="4"/>
      <c r="AW1570" s="4"/>
      <c r="AX1570" s="4"/>
      <c r="AY1570" s="4"/>
      <c r="AZ1570" s="4"/>
      <c r="BA1570" s="4"/>
      <c r="BB1570" s="4"/>
      <c r="BC1570" s="4"/>
      <c r="BD1570" s="4"/>
      <c r="BE1570" s="4"/>
      <c r="BF1570" s="3"/>
      <c r="BG1570" s="3"/>
      <c r="BH1570" s="3"/>
      <c r="BI1570" s="4"/>
      <c r="BJ1570" s="3"/>
      <c r="BK1570" s="4"/>
      <c r="BL1570" s="4"/>
      <c r="BM1570" s="3"/>
      <c r="BN1570" s="4"/>
      <c r="BO1570" s="4"/>
      <c r="BP1570" s="4"/>
      <c r="BQ1570" s="4"/>
      <c r="BR1570" s="4"/>
      <c r="BS1570" s="4"/>
      <c r="BT1570" s="4"/>
      <c r="BU1570" s="4"/>
      <c r="BV1570" s="4"/>
      <c r="BW1570" s="4"/>
      <c r="BX1570" s="4"/>
      <c r="BY1570" s="4"/>
      <c r="BZ1570" s="4"/>
      <c r="CA1570" s="4"/>
      <c r="CB1570" s="4"/>
      <c r="CC1570" s="4"/>
      <c r="CD1570" s="4"/>
      <c r="CE1570" s="4"/>
      <c r="CF1570" s="4"/>
      <c r="CG1570" s="4"/>
      <c r="CH1570" s="4"/>
      <c r="CI1570" s="4"/>
      <c r="CJ1570" s="4"/>
      <c r="CK1570" s="4"/>
      <c r="CL1570" s="4"/>
      <c r="CM1570" s="4"/>
      <c r="CN1570" s="4"/>
      <c r="CO1570" s="4"/>
      <c r="CP1570" s="3"/>
      <c r="CQ1570" s="3"/>
      <c r="CR1570" s="8"/>
      <c r="CS1570" s="4"/>
      <c r="CT1570" s="4"/>
      <c r="CU1570" s="4"/>
      <c r="CV1570" s="4"/>
      <c r="CW1570" s="8"/>
      <c r="CX1570" s="8"/>
      <c r="CY1570" s="8"/>
      <c r="CZ1570" s="8"/>
      <c r="DA1570" s="4"/>
      <c r="DB1570" s="4"/>
      <c r="DC1570" s="4"/>
      <c r="DD1570" s="4"/>
      <c r="DE1570" s="4"/>
      <c r="DF1570" s="4"/>
      <c r="DG1570" s="4"/>
      <c r="DH1570" s="4"/>
      <c r="DI1570" s="4"/>
      <c r="DJ1570" s="4"/>
      <c r="DK1570" s="4"/>
      <c r="DL1570" s="4"/>
      <c r="DM1570" s="4"/>
      <c r="DN1570" s="4"/>
      <c r="DO1570" s="4"/>
      <c r="DP1570" s="4"/>
      <c r="DQ1570" s="4"/>
      <c r="DR1570" s="4"/>
      <c r="DS1570" s="4"/>
      <c r="DT1570" s="4"/>
      <c r="DU1570" s="8"/>
      <c r="DV1570" s="8"/>
      <c r="DW1570" s="8"/>
      <c r="DX1570" s="8"/>
      <c r="DY1570" s="8"/>
      <c r="DZ1570" s="8"/>
      <c r="EA1570" s="4"/>
      <c r="EB1570" s="4"/>
      <c r="EC1570" s="4"/>
    </row>
    <row r="1571" spans="1:150" hidden="1">
      <c r="A1571" s="11" t="s">
        <v>9940</v>
      </c>
      <c r="B1571" s="3" t="s">
        <v>8373</v>
      </c>
      <c r="C1571" s="3">
        <v>2001</v>
      </c>
      <c r="D1571" s="3" t="s">
        <v>8035</v>
      </c>
      <c r="E1571" s="3" t="s">
        <v>9131</v>
      </c>
      <c r="F1571" s="3">
        <v>1</v>
      </c>
      <c r="G1571" s="3"/>
      <c r="H1571" s="3" t="s">
        <v>8041</v>
      </c>
      <c r="I1571" s="3"/>
      <c r="J1571" s="3"/>
      <c r="K1571" s="3" t="s">
        <v>8036</v>
      </c>
      <c r="L1571" s="4"/>
      <c r="M1571" s="3" t="s">
        <v>9132</v>
      </c>
      <c r="T1571" s="3" t="s">
        <v>8038</v>
      </c>
      <c r="V1571" s="3"/>
      <c r="W1571" s="4"/>
      <c r="X1571" s="5" t="s">
        <v>8042</v>
      </c>
      <c r="Y1571" s="5"/>
      <c r="Z1571" s="3">
        <v>1</v>
      </c>
      <c r="AA1571" s="4"/>
      <c r="AB1571" s="4"/>
      <c r="AE1571" s="3"/>
      <c r="AF1571" s="3"/>
      <c r="AG1571" s="4"/>
      <c r="AH1571" s="4"/>
      <c r="AI1571" s="4"/>
      <c r="AJ1571" s="4"/>
      <c r="AK1571" s="3"/>
      <c r="AL1571" s="3"/>
      <c r="AM1571" s="3"/>
      <c r="AN1571" s="3"/>
      <c r="AO1571" s="4"/>
      <c r="AP1571" s="3"/>
      <c r="AQ1571" s="4"/>
      <c r="AR1571" s="3"/>
      <c r="AS1571" s="3"/>
      <c r="AT1571" s="4"/>
      <c r="AU1571" s="3"/>
      <c r="AV1571" s="4"/>
      <c r="AW1571" s="4"/>
      <c r="AX1571" s="4"/>
      <c r="AY1571" s="4"/>
      <c r="AZ1571" s="4"/>
      <c r="BA1571" s="4"/>
      <c r="BB1571" s="4"/>
      <c r="BC1571" s="4"/>
      <c r="BD1571" s="4"/>
      <c r="BE1571" s="4"/>
      <c r="BF1571" s="3"/>
      <c r="BG1571" s="3"/>
      <c r="BH1571" s="3"/>
      <c r="BI1571" s="4"/>
      <c r="BJ1571" s="3"/>
      <c r="BK1571" s="4"/>
      <c r="BL1571" s="4"/>
      <c r="BM1571" s="3"/>
      <c r="BN1571" s="4"/>
      <c r="BO1571" s="4"/>
      <c r="BP1571" s="4"/>
      <c r="BQ1571" s="4"/>
      <c r="BR1571" s="4"/>
      <c r="BS1571" s="4"/>
      <c r="BT1571" s="4"/>
      <c r="BU1571" s="4"/>
      <c r="BV1571" s="4"/>
      <c r="BW1571" s="4"/>
      <c r="BX1571" s="4"/>
      <c r="BY1571" s="4"/>
      <c r="BZ1571" s="4"/>
      <c r="CA1571" s="4"/>
      <c r="CB1571" s="4"/>
      <c r="CC1571" s="4"/>
      <c r="CD1571" s="4"/>
      <c r="CE1571" s="3"/>
      <c r="CF1571" s="3"/>
      <c r="CG1571" s="8"/>
      <c r="CH1571" s="4"/>
      <c r="CI1571" s="4"/>
      <c r="CJ1571" s="4"/>
      <c r="CK1571" s="4"/>
      <c r="CL1571" s="8"/>
      <c r="CM1571" s="8"/>
      <c r="CN1571" s="8"/>
      <c r="CO1571" s="8"/>
      <c r="CP1571" s="4"/>
      <c r="CQ1571" s="4"/>
      <c r="CR1571" s="4"/>
      <c r="CS1571" s="4"/>
      <c r="CT1571" s="4"/>
      <c r="CU1571" s="4"/>
      <c r="CV1571" s="4"/>
      <c r="CW1571" s="4"/>
      <c r="CX1571" s="4"/>
      <c r="CY1571" s="4"/>
      <c r="CZ1571" s="4"/>
      <c r="DA1571" s="4"/>
      <c r="DB1571" s="4"/>
      <c r="DC1571" s="4"/>
      <c r="DD1571" s="4"/>
      <c r="DE1571" s="4"/>
      <c r="DF1571" s="4"/>
      <c r="DG1571" s="4"/>
      <c r="DH1571" s="4"/>
      <c r="DI1571" s="4"/>
      <c r="DJ1571" s="8"/>
      <c r="DK1571" s="8"/>
      <c r="DL1571" s="8"/>
      <c r="DM1571" s="8"/>
      <c r="DN1571" s="8"/>
      <c r="DO1571" s="8"/>
      <c r="DP1571" s="4"/>
      <c r="DQ1571" s="4"/>
      <c r="DR1571" s="4"/>
    </row>
    <row r="1572" spans="1:150" hidden="1">
      <c r="A1572" s="11" t="s">
        <v>9940</v>
      </c>
      <c r="B1572" s="3" t="s">
        <v>8373</v>
      </c>
      <c r="C1572" s="3">
        <v>2011</v>
      </c>
      <c r="D1572" s="3" t="s">
        <v>9858</v>
      </c>
      <c r="E1572" s="3" t="s">
        <v>9859</v>
      </c>
      <c r="F1572" s="3">
        <v>1</v>
      </c>
      <c r="G1572" s="3"/>
      <c r="H1572" s="3" t="s">
        <v>9863</v>
      </c>
      <c r="I1572" s="3"/>
      <c r="J1572" s="3"/>
      <c r="K1572" s="3" t="s">
        <v>4927</v>
      </c>
      <c r="L1572" s="4"/>
      <c r="M1572" s="3" t="s">
        <v>9860</v>
      </c>
      <c r="T1572" s="3" t="s">
        <v>9861</v>
      </c>
      <c r="V1572" s="3"/>
      <c r="W1572" s="3"/>
      <c r="X1572" s="5" t="s">
        <v>9862</v>
      </c>
      <c r="Y1572" s="5"/>
      <c r="Z1572" s="3">
        <v>0</v>
      </c>
      <c r="AA1572" s="3" t="s">
        <v>9265</v>
      </c>
      <c r="AB1572" s="4"/>
      <c r="AE1572" s="3"/>
      <c r="AF1572" s="4"/>
      <c r="AG1572" s="4"/>
      <c r="AH1572" s="4"/>
      <c r="AI1572" s="4"/>
      <c r="AJ1572" s="4"/>
      <c r="AK1572" s="3"/>
      <c r="AL1572" s="3"/>
      <c r="AM1572" s="3"/>
      <c r="AN1572" s="3"/>
      <c r="AO1572" s="4"/>
      <c r="AP1572" s="3"/>
      <c r="AQ1572" s="4"/>
      <c r="AR1572" s="3"/>
      <c r="AS1572" s="3"/>
      <c r="AT1572" s="4"/>
      <c r="AU1572" s="3"/>
      <c r="AV1572" s="4"/>
      <c r="AW1572" s="4"/>
      <c r="AX1572" s="4"/>
      <c r="AY1572" s="4"/>
      <c r="AZ1572" s="4"/>
      <c r="BA1572" s="4"/>
      <c r="BB1572" s="4"/>
      <c r="BC1572" s="4"/>
      <c r="BD1572" s="4"/>
      <c r="BE1572" s="4"/>
      <c r="BF1572" s="3"/>
      <c r="BG1572" s="3"/>
      <c r="BH1572" s="3"/>
      <c r="BI1572" s="4"/>
      <c r="BJ1572" s="3"/>
      <c r="BK1572" s="4"/>
      <c r="BL1572" s="4"/>
      <c r="BM1572" s="3"/>
      <c r="BN1572" s="4"/>
      <c r="BO1572" s="4"/>
      <c r="BP1572" s="4"/>
      <c r="BQ1572" s="4"/>
      <c r="BR1572" s="4"/>
      <c r="BS1572" s="4"/>
      <c r="BT1572" s="4"/>
      <c r="BU1572" s="4"/>
      <c r="BV1572" s="4"/>
      <c r="BW1572" s="4"/>
      <c r="BX1572" s="4"/>
      <c r="BY1572" s="4"/>
      <c r="BZ1572" s="4"/>
      <c r="CA1572" s="4"/>
      <c r="CB1572" s="4"/>
      <c r="CC1572" s="4"/>
      <c r="CD1572" s="4"/>
      <c r="CE1572" s="4"/>
      <c r="CF1572" s="4"/>
      <c r="CG1572" s="4"/>
      <c r="CH1572" s="4"/>
      <c r="CI1572" s="4"/>
      <c r="CJ1572" s="4"/>
      <c r="CK1572" s="4"/>
      <c r="CL1572" s="4"/>
      <c r="CM1572" s="4"/>
      <c r="CN1572" s="4"/>
      <c r="CO1572" s="4"/>
      <c r="CP1572" s="4"/>
      <c r="CQ1572" s="4"/>
      <c r="CR1572" s="4"/>
      <c r="CS1572" s="4"/>
      <c r="CT1572" s="3"/>
      <c r="CU1572" s="3"/>
      <c r="CV1572" s="4"/>
      <c r="CW1572" s="4"/>
      <c r="CX1572" s="4"/>
      <c r="CY1572" s="4"/>
      <c r="CZ1572" s="4"/>
      <c r="DA1572" s="4"/>
      <c r="DB1572" s="4"/>
      <c r="DC1572" s="4"/>
      <c r="DD1572" s="4"/>
      <c r="DE1572" s="4"/>
      <c r="DF1572" s="4"/>
      <c r="DG1572" s="4"/>
      <c r="DH1572" s="4"/>
      <c r="DI1572" s="4"/>
      <c r="DJ1572" s="4"/>
      <c r="DK1572" s="4"/>
      <c r="DL1572" s="4"/>
      <c r="DM1572" s="4"/>
      <c r="DN1572" s="4"/>
      <c r="DO1572" s="4"/>
      <c r="DP1572" s="4"/>
      <c r="DQ1572" s="4"/>
      <c r="DR1572" s="4"/>
      <c r="DS1572" s="4"/>
      <c r="DT1572" s="4"/>
      <c r="DU1572" s="4"/>
      <c r="DV1572" s="4"/>
      <c r="DW1572" s="4"/>
      <c r="DX1572" s="4"/>
      <c r="DY1572" s="4"/>
      <c r="DZ1572" s="4"/>
      <c r="EA1572" s="4"/>
      <c r="EB1572" s="4"/>
      <c r="EC1572" s="4"/>
      <c r="ED1572" s="4"/>
      <c r="EE1572" s="4"/>
      <c r="EF1572" s="4"/>
      <c r="EG1572" s="4"/>
    </row>
    <row r="1573" spans="1:150" hidden="1">
      <c r="A1573" s="11" t="s">
        <v>9940</v>
      </c>
      <c r="B1573" s="3" t="s">
        <v>8373</v>
      </c>
      <c r="C1573" s="3">
        <v>2012</v>
      </c>
      <c r="D1573" s="3" t="s">
        <v>4831</v>
      </c>
      <c r="E1573" s="3" t="s">
        <v>9133</v>
      </c>
      <c r="F1573" s="3">
        <v>1</v>
      </c>
      <c r="G1573" s="3"/>
      <c r="H1573" s="3" t="s">
        <v>9134</v>
      </c>
      <c r="I1573" s="3"/>
      <c r="J1573" s="3"/>
      <c r="K1573" s="3" t="s">
        <v>291</v>
      </c>
      <c r="L1573" s="4"/>
      <c r="M1573" s="3" t="s">
        <v>8980</v>
      </c>
      <c r="T1573" s="3" t="s">
        <v>4833</v>
      </c>
      <c r="V1573" s="3"/>
      <c r="W1573" s="4"/>
      <c r="X1573" s="5" t="s">
        <v>4836</v>
      </c>
      <c r="Y1573" s="5"/>
      <c r="Z1573" s="3">
        <v>1</v>
      </c>
      <c r="AA1573" s="4"/>
      <c r="AB1573" s="4"/>
      <c r="AE1573" s="3"/>
      <c r="AF1573" s="3"/>
      <c r="AG1573" s="4"/>
      <c r="AH1573" s="4"/>
      <c r="AI1573" s="4"/>
      <c r="AJ1573" s="4"/>
      <c r="AK1573" s="3"/>
      <c r="AL1573" s="3"/>
      <c r="AM1573" s="3"/>
      <c r="AN1573" s="3"/>
      <c r="AO1573" s="4"/>
      <c r="AP1573" s="3"/>
      <c r="AQ1573" s="4"/>
      <c r="AR1573" s="3"/>
      <c r="AS1573" s="3"/>
      <c r="AT1573" s="4"/>
      <c r="AU1573" s="3"/>
      <c r="AV1573" s="4"/>
      <c r="AW1573" s="3"/>
      <c r="AX1573" s="4"/>
      <c r="AY1573" s="4"/>
      <c r="AZ1573" s="4"/>
      <c r="BA1573" s="4"/>
      <c r="BB1573" s="4"/>
      <c r="BC1573" s="4"/>
      <c r="BD1573" s="4"/>
      <c r="BE1573" s="3"/>
      <c r="BF1573" s="3"/>
      <c r="BG1573" s="3"/>
      <c r="BH1573" s="4"/>
      <c r="BI1573" s="3"/>
      <c r="BJ1573" s="4"/>
      <c r="BK1573" s="4"/>
      <c r="BL1573" s="3"/>
      <c r="BM1573" s="4"/>
      <c r="BN1573" s="4"/>
      <c r="BO1573" s="4"/>
      <c r="BP1573" s="4"/>
      <c r="BQ1573" s="4"/>
      <c r="BR1573" s="4"/>
      <c r="BS1573" s="4"/>
      <c r="BT1573" s="4"/>
      <c r="BU1573" s="4"/>
      <c r="BV1573" s="4"/>
      <c r="BW1573" s="4"/>
      <c r="BX1573" s="4"/>
      <c r="BY1573" s="4"/>
      <c r="BZ1573" s="4"/>
      <c r="CA1573" s="4"/>
      <c r="CB1573" s="4"/>
      <c r="CC1573" s="4"/>
      <c r="CD1573" s="4"/>
      <c r="CE1573" s="4"/>
      <c r="CF1573" s="4"/>
      <c r="CG1573" s="4"/>
      <c r="CH1573" s="4"/>
      <c r="CI1573" s="4"/>
      <c r="CJ1573" s="4"/>
      <c r="CK1573" s="4"/>
      <c r="CL1573" s="4"/>
      <c r="CM1573" s="4"/>
      <c r="CN1573" s="4"/>
      <c r="CO1573" s="4"/>
      <c r="CP1573" s="4"/>
      <c r="CQ1573" s="4"/>
      <c r="CR1573" s="4"/>
      <c r="CS1573" s="4"/>
      <c r="CT1573" s="4"/>
      <c r="CU1573" s="4"/>
      <c r="CV1573" s="4"/>
      <c r="CW1573" s="4"/>
      <c r="CX1573" s="3"/>
      <c r="CY1573" s="3"/>
      <c r="CZ1573" s="8"/>
      <c r="DA1573" s="4"/>
      <c r="DB1573" s="4"/>
      <c r="DC1573" s="4"/>
      <c r="DD1573" s="4"/>
      <c r="DE1573" s="8"/>
      <c r="DF1573" s="8"/>
      <c r="DG1573" s="8"/>
      <c r="DH1573" s="8"/>
      <c r="DI1573" s="4"/>
      <c r="DJ1573" s="4"/>
      <c r="DK1573" s="4"/>
      <c r="DL1573" s="4"/>
      <c r="DM1573" s="4"/>
      <c r="DN1573" s="4"/>
      <c r="DO1573" s="4"/>
      <c r="DP1573" s="4"/>
      <c r="DQ1573" s="4"/>
      <c r="DR1573" s="4"/>
      <c r="DS1573" s="4"/>
      <c r="DT1573" s="4"/>
      <c r="DU1573" s="4"/>
      <c r="DV1573" s="4"/>
      <c r="DW1573" s="4"/>
      <c r="DX1573" s="4"/>
      <c r="DY1573" s="4"/>
      <c r="DZ1573" s="4"/>
      <c r="EA1573" s="4"/>
      <c r="EB1573" s="4"/>
      <c r="EC1573" s="8"/>
      <c r="ED1573" s="8"/>
      <c r="EE1573" s="8"/>
      <c r="EF1573" s="8"/>
      <c r="EG1573" s="8"/>
      <c r="EH1573" s="8"/>
      <c r="EI1573" s="4"/>
      <c r="EJ1573" s="4"/>
      <c r="EK1573" s="4"/>
    </row>
    <row r="1574" spans="1:150" hidden="1">
      <c r="A1574" s="11" t="s">
        <v>9940</v>
      </c>
      <c r="B1574" s="3" t="s">
        <v>8373</v>
      </c>
      <c r="C1574" s="3">
        <v>2012</v>
      </c>
      <c r="D1574" s="3" t="s">
        <v>3337</v>
      </c>
      <c r="E1574" s="3" t="s">
        <v>9135</v>
      </c>
      <c r="F1574" s="3">
        <v>1</v>
      </c>
      <c r="G1574" s="3"/>
      <c r="H1574" s="3" t="s">
        <v>3341</v>
      </c>
      <c r="I1574" s="3"/>
      <c r="J1574" s="3"/>
      <c r="K1574" s="3" t="s">
        <v>1272</v>
      </c>
      <c r="L1574" s="4"/>
      <c r="M1574" s="3" t="s">
        <v>9136</v>
      </c>
      <c r="T1574" s="3" t="s">
        <v>3339</v>
      </c>
      <c r="V1574" s="3"/>
      <c r="W1574" s="3"/>
      <c r="X1574" s="5" t="s">
        <v>3342</v>
      </c>
      <c r="Y1574" s="5"/>
      <c r="Z1574" s="3">
        <v>1</v>
      </c>
      <c r="AA1574" s="4"/>
      <c r="AB1574" s="4"/>
      <c r="AE1574" s="3"/>
      <c r="AF1574" s="3"/>
      <c r="AG1574" s="4"/>
      <c r="AH1574" s="4"/>
      <c r="AI1574" s="4"/>
      <c r="AJ1574" s="4"/>
      <c r="AK1574" s="3"/>
      <c r="AL1574" s="3"/>
      <c r="AM1574" s="3"/>
      <c r="AN1574" s="3"/>
      <c r="AO1574" s="4"/>
      <c r="AP1574" s="12"/>
      <c r="AQ1574" s="4"/>
      <c r="AR1574" s="3"/>
      <c r="AS1574" s="3"/>
      <c r="AT1574" s="4"/>
      <c r="AU1574" s="3"/>
      <c r="AV1574" s="4"/>
      <c r="AW1574" s="4"/>
      <c r="AX1574" s="4"/>
      <c r="AY1574" s="4"/>
      <c r="AZ1574" s="4"/>
      <c r="BA1574" s="4"/>
      <c r="BB1574" s="4"/>
      <c r="BC1574" s="4"/>
      <c r="BD1574" s="4"/>
      <c r="BE1574" s="4"/>
      <c r="BF1574" s="3"/>
      <c r="BG1574" s="3"/>
      <c r="BH1574" s="3"/>
      <c r="BI1574" s="4"/>
      <c r="BJ1574" s="3"/>
      <c r="BK1574" s="4"/>
      <c r="BL1574" s="4"/>
      <c r="BM1574" s="3"/>
      <c r="BN1574" s="4"/>
      <c r="BO1574" s="4"/>
      <c r="BP1574" s="4"/>
      <c r="BQ1574" s="4"/>
      <c r="BR1574" s="4"/>
      <c r="BS1574" s="4"/>
      <c r="BT1574" s="4"/>
      <c r="BU1574" s="4"/>
      <c r="BV1574" s="4"/>
      <c r="BW1574" s="4"/>
      <c r="BX1574" s="4"/>
      <c r="BY1574" s="4"/>
      <c r="BZ1574" s="4"/>
      <c r="CA1574" s="4"/>
      <c r="CB1574" s="4"/>
      <c r="CC1574" s="4"/>
      <c r="CD1574" s="4"/>
      <c r="CE1574" s="4"/>
      <c r="CF1574" s="4"/>
      <c r="CG1574" s="4"/>
      <c r="CH1574" s="4"/>
      <c r="CI1574" s="4"/>
      <c r="CJ1574" s="4"/>
      <c r="CK1574" s="4"/>
      <c r="CL1574" s="4"/>
      <c r="CM1574" s="4"/>
      <c r="CN1574" s="4"/>
      <c r="CO1574" s="4"/>
      <c r="CP1574" s="4"/>
      <c r="CQ1574" s="4"/>
      <c r="CR1574" s="4"/>
      <c r="CS1574" s="4"/>
      <c r="CT1574" s="4"/>
      <c r="CU1574" s="4"/>
      <c r="CV1574" s="4"/>
      <c r="CW1574" s="4"/>
      <c r="CX1574" s="4"/>
      <c r="CY1574" s="4"/>
      <c r="CZ1574" s="4"/>
      <c r="DA1574" s="4"/>
      <c r="DB1574" s="4"/>
      <c r="DC1574" s="4"/>
      <c r="DD1574" s="4"/>
      <c r="DE1574" s="3"/>
      <c r="DF1574" s="3"/>
      <c r="DG1574" s="8"/>
      <c r="DH1574" s="4"/>
      <c r="DI1574" s="4"/>
      <c r="DJ1574" s="4"/>
      <c r="DK1574" s="4"/>
      <c r="DL1574" s="8"/>
      <c r="DM1574" s="8"/>
      <c r="DN1574" s="8"/>
      <c r="DO1574" s="8"/>
      <c r="DP1574" s="4"/>
      <c r="DQ1574" s="4"/>
      <c r="DR1574" s="4"/>
      <c r="DS1574" s="4"/>
      <c r="DT1574" s="4"/>
      <c r="DU1574" s="4"/>
      <c r="DV1574" s="4"/>
      <c r="DW1574" s="4"/>
      <c r="DX1574" s="4"/>
      <c r="DY1574" s="4"/>
      <c r="DZ1574" s="4"/>
      <c r="EA1574" s="4"/>
      <c r="EB1574" s="4"/>
      <c r="EC1574" s="4"/>
      <c r="ED1574" s="4"/>
      <c r="EE1574" s="4"/>
      <c r="EF1574" s="4"/>
      <c r="EG1574" s="4"/>
      <c r="EH1574" s="4"/>
      <c r="EI1574" s="4"/>
      <c r="EJ1574" s="8"/>
      <c r="EK1574" s="8"/>
      <c r="EL1574" s="8"/>
      <c r="EM1574" s="8"/>
      <c r="EN1574" s="8"/>
      <c r="EO1574" s="8"/>
      <c r="EP1574" s="4"/>
      <c r="EQ1574" s="4"/>
      <c r="ER1574" s="4"/>
    </row>
    <row r="1575" spans="1:150" hidden="1">
      <c r="A1575" s="11" t="s">
        <v>9940</v>
      </c>
      <c r="B1575" s="3" t="s">
        <v>8373</v>
      </c>
      <c r="C1575" s="3">
        <v>2009</v>
      </c>
      <c r="D1575" s="3" t="s">
        <v>3651</v>
      </c>
      <c r="E1575" s="3" t="s">
        <v>9864</v>
      </c>
      <c r="F1575" s="3">
        <v>0</v>
      </c>
      <c r="G1575" s="3" t="s">
        <v>9265</v>
      </c>
      <c r="H1575" s="3" t="s">
        <v>3655</v>
      </c>
      <c r="I1575" s="3"/>
      <c r="J1575" s="3"/>
      <c r="K1575" s="3" t="s">
        <v>1972</v>
      </c>
      <c r="L1575" s="4"/>
      <c r="M1575" s="3" t="s">
        <v>9865</v>
      </c>
      <c r="T1575" s="3" t="s">
        <v>3653</v>
      </c>
      <c r="V1575" s="4"/>
      <c r="W1575" s="4"/>
      <c r="X1575" s="5" t="s">
        <v>3656</v>
      </c>
      <c r="Y1575" s="5"/>
      <c r="Z1575" s="4"/>
      <c r="AA1575" s="4"/>
      <c r="AB1575" s="4"/>
      <c r="AE1575" s="4"/>
      <c r="AF1575" s="4"/>
      <c r="AG1575" s="3"/>
      <c r="AH1575" s="3"/>
      <c r="AI1575" s="3"/>
      <c r="AJ1575" s="3"/>
      <c r="AK1575" s="4"/>
      <c r="AL1575" s="3"/>
      <c r="AM1575" s="4"/>
      <c r="AN1575" s="3"/>
      <c r="AO1575" s="3"/>
      <c r="AP1575" s="4"/>
      <c r="AQ1575" s="3"/>
      <c r="AR1575" s="4"/>
      <c r="AS1575" s="4"/>
      <c r="AT1575" s="4"/>
      <c r="AU1575" s="4"/>
      <c r="AV1575" s="4"/>
      <c r="AW1575" s="4"/>
      <c r="AX1575" s="4"/>
      <c r="AY1575" s="4"/>
      <c r="AZ1575" s="4"/>
      <c r="BA1575" s="4"/>
      <c r="BB1575" s="3"/>
      <c r="BC1575" s="3"/>
      <c r="BD1575" s="3"/>
      <c r="BE1575" s="4"/>
      <c r="BF1575" s="3"/>
      <c r="BG1575" s="4"/>
      <c r="BH1575" s="4"/>
      <c r="BI1575" s="3"/>
      <c r="BJ1575" s="4"/>
      <c r="BK1575" s="4"/>
      <c r="BL1575" s="4"/>
      <c r="BM1575" s="4"/>
      <c r="BN1575" s="4"/>
      <c r="BO1575" s="4"/>
      <c r="BP1575" s="4"/>
      <c r="BQ1575" s="4"/>
      <c r="BR1575" s="4"/>
      <c r="BS1575" s="4"/>
      <c r="BT1575" s="4"/>
      <c r="BU1575" s="4"/>
      <c r="BV1575" s="4"/>
      <c r="BW1575" s="4"/>
      <c r="BX1575" s="4"/>
      <c r="BY1575" s="4"/>
      <c r="BZ1575" s="4"/>
      <c r="CA1575" s="4"/>
      <c r="CB1575" s="4"/>
      <c r="CC1575" s="4"/>
      <c r="CD1575" s="4"/>
      <c r="CE1575" s="4"/>
      <c r="CF1575" s="4"/>
      <c r="CG1575" s="4"/>
      <c r="CH1575" s="4"/>
      <c r="CI1575" s="4"/>
      <c r="CJ1575" s="4"/>
      <c r="CK1575" s="4"/>
      <c r="CL1575" s="4"/>
      <c r="CM1575" s="4"/>
      <c r="CN1575" s="4"/>
      <c r="CO1575" s="4"/>
      <c r="CP1575" s="4"/>
      <c r="CQ1575" s="3"/>
      <c r="CR1575" s="3"/>
      <c r="CS1575" s="4"/>
      <c r="CT1575" s="4"/>
      <c r="CU1575" s="4"/>
      <c r="CV1575" s="4"/>
      <c r="CW1575" s="4"/>
      <c r="CX1575" s="4"/>
      <c r="CY1575" s="4"/>
      <c r="CZ1575" s="4"/>
      <c r="DA1575" s="4"/>
      <c r="DB1575" s="4"/>
      <c r="DC1575" s="4"/>
      <c r="DD1575" s="4"/>
      <c r="DE1575" s="4"/>
      <c r="DF1575" s="4"/>
      <c r="DG1575" s="4"/>
      <c r="DH1575" s="4"/>
      <c r="DI1575" s="4"/>
      <c r="DJ1575" s="4"/>
      <c r="DK1575" s="4"/>
      <c r="DL1575" s="4"/>
      <c r="DM1575" s="4"/>
      <c r="DN1575" s="4"/>
      <c r="DO1575" s="4"/>
      <c r="DP1575" s="4"/>
      <c r="DQ1575" s="4"/>
      <c r="DR1575" s="4"/>
      <c r="DS1575" s="4"/>
      <c r="DT1575" s="4"/>
      <c r="DU1575" s="4"/>
      <c r="DV1575" s="4"/>
      <c r="DW1575" s="4"/>
      <c r="DX1575" s="4"/>
      <c r="DY1575" s="4"/>
      <c r="DZ1575" s="4"/>
      <c r="EA1575" s="4"/>
      <c r="EB1575" s="4"/>
      <c r="EC1575" s="4"/>
      <c r="ED1575" s="4"/>
    </row>
    <row r="1576" spans="1:150" hidden="1">
      <c r="A1576" s="11" t="s">
        <v>9940</v>
      </c>
      <c r="B1576" s="3" t="s">
        <v>8373</v>
      </c>
      <c r="C1576" s="3">
        <v>2003</v>
      </c>
      <c r="D1576" s="3" t="s">
        <v>3979</v>
      </c>
      <c r="E1576" s="6" t="s">
        <v>9866</v>
      </c>
      <c r="F1576" s="3">
        <v>1</v>
      </c>
      <c r="G1576" s="3"/>
      <c r="H1576" s="3" t="s">
        <v>3989</v>
      </c>
      <c r="I1576" s="3"/>
      <c r="J1576" s="3"/>
      <c r="K1576" s="3" t="s">
        <v>3985</v>
      </c>
      <c r="L1576" s="4"/>
      <c r="M1576" s="3" t="s">
        <v>9867</v>
      </c>
      <c r="T1576" s="3" t="s">
        <v>3987</v>
      </c>
      <c r="V1576" s="3"/>
      <c r="W1576" s="3"/>
      <c r="X1576" s="5" t="s">
        <v>3990</v>
      </c>
      <c r="Y1576" s="5"/>
      <c r="Z1576" s="3">
        <v>0</v>
      </c>
      <c r="AA1576" s="3" t="s">
        <v>9237</v>
      </c>
      <c r="AB1576" s="4"/>
      <c r="AE1576" s="3"/>
      <c r="AF1576" s="4"/>
      <c r="AG1576" s="4"/>
      <c r="AH1576" s="4"/>
      <c r="AI1576" s="4"/>
      <c r="AJ1576" s="4"/>
      <c r="AK1576" s="3"/>
      <c r="AL1576" s="3"/>
      <c r="AM1576" s="3"/>
      <c r="AN1576" s="3"/>
      <c r="AO1576" s="4"/>
      <c r="AP1576" s="3"/>
      <c r="AQ1576" s="4"/>
      <c r="AR1576" s="3"/>
      <c r="AS1576" s="3"/>
      <c r="AT1576" s="4"/>
      <c r="AU1576" s="3"/>
      <c r="AV1576" s="4"/>
      <c r="AW1576" s="4"/>
      <c r="AX1576" s="4"/>
      <c r="AY1576" s="4"/>
      <c r="AZ1576" s="4"/>
      <c r="BA1576" s="4"/>
      <c r="BB1576" s="4"/>
      <c r="BC1576" s="4"/>
      <c r="BD1576" s="4"/>
      <c r="BE1576" s="4"/>
      <c r="BF1576" s="3"/>
      <c r="BG1576" s="3"/>
      <c r="BH1576" s="3"/>
      <c r="BI1576" s="4"/>
      <c r="BJ1576" s="3"/>
      <c r="BK1576" s="4"/>
      <c r="BL1576" s="4"/>
      <c r="BM1576" s="3"/>
      <c r="BN1576" s="4"/>
      <c r="BO1576" s="4"/>
      <c r="BP1576" s="4"/>
      <c r="BQ1576" s="4"/>
      <c r="BR1576" s="4"/>
      <c r="BS1576" s="4"/>
      <c r="BT1576" s="4"/>
      <c r="BU1576" s="4"/>
      <c r="BV1576" s="4"/>
      <c r="BW1576" s="4"/>
      <c r="BX1576" s="4"/>
      <c r="BY1576" s="4"/>
      <c r="BZ1576" s="4"/>
      <c r="CA1576" s="4"/>
      <c r="CB1576" s="4"/>
      <c r="CC1576" s="4"/>
      <c r="CD1576" s="4"/>
      <c r="CE1576" s="4"/>
      <c r="CF1576" s="4"/>
      <c r="CG1576" s="4"/>
      <c r="CH1576" s="4"/>
      <c r="CI1576" s="4"/>
      <c r="CJ1576" s="4"/>
      <c r="CK1576" s="4"/>
      <c r="CL1576" s="4"/>
      <c r="CM1576" s="4"/>
      <c r="CN1576" s="4"/>
      <c r="CO1576" s="4"/>
      <c r="CP1576" s="4"/>
      <c r="CQ1576" s="4"/>
      <c r="CR1576" s="4"/>
      <c r="CS1576" s="4"/>
      <c r="CT1576" s="4"/>
      <c r="CU1576" s="4"/>
      <c r="CV1576" s="4"/>
      <c r="CW1576" s="4"/>
      <c r="CX1576" s="4"/>
      <c r="CY1576" s="4"/>
      <c r="CZ1576" s="4"/>
      <c r="DA1576" s="3"/>
      <c r="DB1576" s="3"/>
      <c r="DC1576" s="4"/>
      <c r="DD1576" s="4"/>
      <c r="DE1576" s="4"/>
      <c r="DF1576" s="4"/>
      <c r="DG1576" s="4"/>
      <c r="DH1576" s="4"/>
      <c r="DI1576" s="4"/>
      <c r="DJ1576" s="4"/>
      <c r="DK1576" s="4"/>
      <c r="DL1576" s="4"/>
      <c r="DM1576" s="4"/>
      <c r="DN1576" s="4"/>
      <c r="DO1576" s="4"/>
      <c r="DP1576" s="4"/>
      <c r="DQ1576" s="4"/>
      <c r="DR1576" s="4"/>
      <c r="DS1576" s="4"/>
      <c r="DT1576" s="4"/>
      <c r="DU1576" s="4"/>
      <c r="DV1576" s="4"/>
      <c r="DW1576" s="4"/>
      <c r="DX1576" s="4"/>
      <c r="DY1576" s="4"/>
      <c r="DZ1576" s="4"/>
      <c r="EA1576" s="4"/>
      <c r="EB1576" s="4"/>
      <c r="EC1576" s="4"/>
      <c r="ED1576" s="4"/>
      <c r="EE1576" s="4"/>
      <c r="EF1576" s="4"/>
      <c r="EG1576" s="4"/>
      <c r="EH1576" s="4"/>
      <c r="EI1576" s="4"/>
      <c r="EJ1576" s="4"/>
      <c r="EK1576" s="4"/>
      <c r="EL1576" s="4"/>
      <c r="EM1576" s="4"/>
      <c r="EN1576" s="4"/>
    </row>
    <row r="1577" spans="1:150" hidden="1">
      <c r="A1577" s="11" t="s">
        <v>9940</v>
      </c>
      <c r="B1577" s="3" t="s">
        <v>8373</v>
      </c>
      <c r="C1577" s="3">
        <v>2004</v>
      </c>
      <c r="D1577" s="3" t="s">
        <v>2497</v>
      </c>
      <c r="E1577" s="3" t="s">
        <v>9137</v>
      </c>
      <c r="F1577" s="3">
        <v>1</v>
      </c>
      <c r="G1577" s="3"/>
      <c r="H1577" s="3" t="s">
        <v>2501</v>
      </c>
      <c r="I1577" s="3"/>
      <c r="J1577" s="3"/>
      <c r="K1577" s="3" t="s">
        <v>1180</v>
      </c>
      <c r="L1577" s="4"/>
      <c r="M1577" s="3" t="s">
        <v>8753</v>
      </c>
      <c r="T1577" s="3" t="s">
        <v>2499</v>
      </c>
      <c r="V1577" s="3"/>
      <c r="W1577" s="3"/>
      <c r="X1577" s="5" t="s">
        <v>2502</v>
      </c>
      <c r="Y1577" s="5"/>
      <c r="Z1577" s="3">
        <v>1</v>
      </c>
      <c r="AA1577" s="4"/>
      <c r="AB1577" s="4"/>
      <c r="AE1577" s="3"/>
      <c r="AF1577" s="3"/>
      <c r="AG1577" s="4"/>
      <c r="AH1577" s="4"/>
      <c r="AI1577" s="4"/>
      <c r="AJ1577" s="4"/>
      <c r="AK1577" s="3"/>
      <c r="AL1577" s="3"/>
      <c r="AM1577" s="3"/>
      <c r="AN1577" s="3"/>
      <c r="AO1577" s="4"/>
      <c r="AP1577" s="12"/>
      <c r="AQ1577" s="4"/>
      <c r="AR1577" s="3"/>
      <c r="AS1577" s="3"/>
      <c r="AT1577" s="4"/>
      <c r="AU1577" s="3"/>
      <c r="AV1577" s="4"/>
      <c r="AW1577" s="4"/>
      <c r="AX1577" s="4"/>
      <c r="AY1577" s="4"/>
      <c r="AZ1577" s="4"/>
      <c r="BA1577" s="4"/>
      <c r="BB1577" s="4"/>
      <c r="BC1577" s="4"/>
      <c r="BD1577" s="4"/>
      <c r="BE1577" s="4"/>
      <c r="BF1577" s="3"/>
      <c r="BG1577" s="3"/>
      <c r="BH1577" s="3"/>
      <c r="BI1577" s="4"/>
      <c r="BJ1577" s="3"/>
      <c r="BK1577" s="4"/>
      <c r="BL1577" s="4"/>
      <c r="BM1577" s="3"/>
      <c r="BN1577" s="4"/>
      <c r="BO1577" s="4"/>
      <c r="BP1577" s="4"/>
      <c r="BQ1577" s="4"/>
      <c r="BR1577" s="4"/>
      <c r="BS1577" s="4"/>
      <c r="BT1577" s="4"/>
      <c r="BU1577" s="4"/>
      <c r="BV1577" s="4"/>
      <c r="BW1577" s="4"/>
      <c r="BX1577" s="4"/>
      <c r="BY1577" s="4"/>
      <c r="BZ1577" s="4"/>
      <c r="CA1577" s="4"/>
      <c r="CB1577" s="4"/>
      <c r="CC1577" s="4"/>
      <c r="CD1577" s="4"/>
      <c r="CE1577" s="4"/>
      <c r="CF1577" s="4"/>
      <c r="CG1577" s="4"/>
      <c r="CH1577" s="4"/>
      <c r="CI1577" s="4"/>
      <c r="CJ1577" s="4"/>
      <c r="CK1577" s="4"/>
      <c r="CL1577" s="4"/>
      <c r="CM1577" s="4"/>
      <c r="CN1577" s="4"/>
      <c r="CO1577" s="4"/>
      <c r="CP1577" s="4"/>
      <c r="CQ1577" s="4"/>
      <c r="CR1577" s="4"/>
      <c r="CS1577" s="4"/>
      <c r="CT1577" s="4"/>
      <c r="CU1577" s="4"/>
      <c r="CV1577" s="4"/>
      <c r="CW1577" s="4"/>
      <c r="CX1577" s="4"/>
      <c r="CY1577" s="4"/>
      <c r="CZ1577" s="4"/>
      <c r="DA1577" s="4"/>
      <c r="DB1577" s="3"/>
      <c r="DC1577" s="3"/>
      <c r="DD1577" s="8"/>
      <c r="DE1577" s="4"/>
      <c r="DF1577" s="4"/>
      <c r="DG1577" s="4"/>
      <c r="DH1577" s="4"/>
      <c r="DI1577" s="8"/>
      <c r="DJ1577" s="8"/>
      <c r="DK1577" s="8"/>
      <c r="DL1577" s="8"/>
      <c r="DM1577" s="4"/>
      <c r="DN1577" s="4"/>
      <c r="DO1577" s="4"/>
      <c r="DP1577" s="4"/>
      <c r="DQ1577" s="4"/>
      <c r="DR1577" s="4"/>
      <c r="DS1577" s="4"/>
      <c r="DT1577" s="4"/>
      <c r="DU1577" s="4"/>
      <c r="DV1577" s="4"/>
      <c r="DW1577" s="4"/>
      <c r="DX1577" s="4"/>
      <c r="DY1577" s="4"/>
      <c r="DZ1577" s="4"/>
      <c r="EA1577" s="4"/>
      <c r="EB1577" s="4"/>
      <c r="EC1577" s="4"/>
      <c r="ED1577" s="4"/>
      <c r="EE1577" s="4"/>
      <c r="EF1577" s="4"/>
      <c r="EG1577" s="8"/>
      <c r="EH1577" s="8"/>
      <c r="EI1577" s="8"/>
      <c r="EJ1577" s="8"/>
      <c r="EK1577" s="8"/>
      <c r="EL1577" s="8"/>
      <c r="EM1577" s="4"/>
      <c r="EN1577" s="4"/>
      <c r="EO1577" s="4"/>
    </row>
    <row r="1578" spans="1:150" hidden="1">
      <c r="A1578" s="11" t="s">
        <v>9940</v>
      </c>
      <c r="B1578" s="3" t="s">
        <v>8373</v>
      </c>
      <c r="C1578" s="3">
        <v>2011</v>
      </c>
      <c r="D1578" s="3" t="s">
        <v>1541</v>
      </c>
      <c r="E1578" s="3" t="s">
        <v>9868</v>
      </c>
      <c r="F1578" s="3">
        <v>0</v>
      </c>
      <c r="G1578" s="3" t="s">
        <v>9249</v>
      </c>
      <c r="H1578" s="3" t="s">
        <v>1546</v>
      </c>
      <c r="I1578" s="3"/>
      <c r="J1578" s="3"/>
      <c r="K1578" s="3" t="s">
        <v>1542</v>
      </c>
      <c r="L1578" s="4"/>
      <c r="M1578" s="3" t="s">
        <v>9869</v>
      </c>
      <c r="T1578" s="3" t="s">
        <v>1544</v>
      </c>
      <c r="V1578" s="4"/>
      <c r="W1578" s="4"/>
      <c r="X1578" s="5" t="s">
        <v>1547</v>
      </c>
      <c r="Y1578" s="5"/>
      <c r="Z1578" s="4"/>
      <c r="AA1578" s="4"/>
      <c r="AB1578" s="4"/>
      <c r="AE1578" s="4"/>
      <c r="AF1578" s="4"/>
      <c r="AG1578" s="3"/>
      <c r="AH1578" s="3"/>
      <c r="AI1578" s="3"/>
      <c r="AJ1578" s="3"/>
      <c r="AK1578" s="4"/>
      <c r="AL1578" s="3"/>
      <c r="AM1578" s="4"/>
      <c r="AN1578" s="3"/>
      <c r="AO1578" s="3"/>
      <c r="AP1578" s="4"/>
      <c r="AQ1578" s="3"/>
      <c r="AR1578" s="4"/>
      <c r="AS1578" s="4"/>
      <c r="AT1578" s="4"/>
      <c r="AU1578" s="4"/>
      <c r="AV1578" s="4"/>
      <c r="AW1578" s="4"/>
      <c r="AX1578" s="4"/>
      <c r="AY1578" s="4"/>
      <c r="AZ1578" s="4"/>
      <c r="BA1578" s="4"/>
      <c r="BB1578" s="3"/>
      <c r="BC1578" s="3"/>
      <c r="BD1578" s="3"/>
      <c r="BE1578" s="4"/>
      <c r="BF1578" s="3"/>
      <c r="BG1578" s="4"/>
      <c r="BH1578" s="4"/>
      <c r="BI1578" s="3"/>
      <c r="BJ1578" s="4"/>
      <c r="BK1578" s="4"/>
      <c r="BL1578" s="4"/>
      <c r="BM1578" s="4"/>
      <c r="BN1578" s="4"/>
      <c r="BO1578" s="4"/>
      <c r="BP1578" s="4"/>
      <c r="BQ1578" s="4"/>
      <c r="BR1578" s="4"/>
      <c r="BS1578" s="4"/>
      <c r="BT1578" s="4"/>
      <c r="BU1578" s="4"/>
      <c r="BV1578" s="4"/>
      <c r="BW1578" s="4"/>
      <c r="BX1578" s="4"/>
      <c r="BY1578" s="4"/>
      <c r="BZ1578" s="4"/>
      <c r="CA1578" s="4"/>
      <c r="CB1578" s="4"/>
      <c r="CC1578" s="4"/>
      <c r="CD1578" s="4"/>
      <c r="CE1578" s="4"/>
      <c r="CF1578" s="4"/>
      <c r="CG1578" s="4"/>
      <c r="CH1578" s="4"/>
      <c r="CI1578" s="4"/>
      <c r="CJ1578" s="4"/>
      <c r="CK1578" s="4"/>
      <c r="CL1578" s="4"/>
      <c r="CM1578" s="4"/>
      <c r="CN1578" s="4"/>
      <c r="CO1578" s="4"/>
      <c r="CP1578" s="4"/>
      <c r="CQ1578" s="4"/>
      <c r="CR1578" s="4"/>
      <c r="CS1578" s="3"/>
      <c r="CT1578" s="3"/>
      <c r="CU1578" s="4"/>
      <c r="CV1578" s="4"/>
      <c r="CW1578" s="4"/>
      <c r="CX1578" s="4"/>
      <c r="CY1578" s="4"/>
      <c r="CZ1578" s="4"/>
      <c r="DA1578" s="4"/>
      <c r="DB1578" s="4"/>
      <c r="DC1578" s="4"/>
      <c r="DD1578" s="4"/>
      <c r="DE1578" s="4"/>
      <c r="DF1578" s="4"/>
      <c r="DG1578" s="4"/>
      <c r="DH1578" s="4"/>
      <c r="DI1578" s="4"/>
      <c r="DJ1578" s="4"/>
      <c r="DK1578" s="4"/>
      <c r="DL1578" s="4"/>
      <c r="DM1578" s="4"/>
      <c r="DN1578" s="4"/>
      <c r="DO1578" s="4"/>
      <c r="DP1578" s="4"/>
      <c r="DQ1578" s="4"/>
      <c r="DR1578" s="4"/>
      <c r="DS1578" s="4"/>
      <c r="DT1578" s="4"/>
      <c r="DU1578" s="4"/>
      <c r="DV1578" s="4"/>
      <c r="DW1578" s="4"/>
      <c r="DX1578" s="4"/>
      <c r="DY1578" s="4"/>
      <c r="DZ1578" s="4"/>
      <c r="EA1578" s="4"/>
      <c r="EB1578" s="4"/>
      <c r="EC1578" s="4"/>
      <c r="ED1578" s="4"/>
      <c r="EE1578" s="4"/>
      <c r="EF1578" s="4"/>
    </row>
    <row r="1579" spans="1:150" hidden="1">
      <c r="A1579" s="11" t="s">
        <v>9940</v>
      </c>
      <c r="B1579" s="3" t="s">
        <v>8373</v>
      </c>
      <c r="C1579" s="3">
        <v>2011</v>
      </c>
      <c r="D1579" s="3" t="s">
        <v>5205</v>
      </c>
      <c r="E1579" s="3" t="s">
        <v>9870</v>
      </c>
      <c r="F1579" s="3">
        <v>1</v>
      </c>
      <c r="G1579" s="3"/>
      <c r="H1579" s="3" t="s">
        <v>5209</v>
      </c>
      <c r="I1579" s="3"/>
      <c r="J1579" s="3"/>
      <c r="K1579" s="3" t="s">
        <v>40</v>
      </c>
      <c r="L1579" s="4"/>
      <c r="M1579" s="3" t="s">
        <v>8500</v>
      </c>
      <c r="T1579" s="3" t="s">
        <v>5207</v>
      </c>
      <c r="V1579" s="3"/>
      <c r="W1579" s="3"/>
      <c r="X1579" s="5" t="s">
        <v>5210</v>
      </c>
      <c r="Y1579" s="5"/>
      <c r="Z1579" s="3">
        <v>0</v>
      </c>
      <c r="AA1579" s="3" t="s">
        <v>9178</v>
      </c>
      <c r="AB1579" s="4"/>
      <c r="AE1579" s="3"/>
      <c r="AF1579" s="4"/>
      <c r="AG1579" s="4"/>
      <c r="AH1579" s="4"/>
      <c r="AI1579" s="4"/>
      <c r="AJ1579" s="4"/>
      <c r="AK1579" s="3"/>
      <c r="AL1579" s="3"/>
      <c r="AM1579" s="3"/>
      <c r="AN1579" s="3"/>
      <c r="AO1579" s="4"/>
      <c r="AP1579" s="3"/>
      <c r="AQ1579" s="4"/>
      <c r="AR1579" s="3"/>
      <c r="AS1579" s="3"/>
      <c r="AT1579" s="4"/>
      <c r="AU1579" s="3"/>
      <c r="AV1579" s="4"/>
      <c r="AW1579" s="4"/>
      <c r="AX1579" s="4"/>
      <c r="AY1579" s="4"/>
      <c r="AZ1579" s="4"/>
      <c r="BA1579" s="4"/>
      <c r="BB1579" s="4"/>
      <c r="BC1579" s="4"/>
      <c r="BD1579" s="4"/>
      <c r="BE1579" s="4"/>
      <c r="BF1579" s="3"/>
      <c r="BG1579" s="3"/>
      <c r="BH1579" s="3"/>
      <c r="BI1579" s="4"/>
      <c r="BJ1579" s="3"/>
      <c r="BK1579" s="4"/>
      <c r="BL1579" s="4"/>
      <c r="BM1579" s="4"/>
      <c r="BN1579" s="3"/>
      <c r="BO1579" s="4"/>
      <c r="BP1579" s="4"/>
      <c r="BQ1579" s="4"/>
      <c r="BR1579" s="4"/>
      <c r="BS1579" s="4"/>
      <c r="BT1579" s="4"/>
      <c r="BU1579" s="4"/>
      <c r="BV1579" s="4"/>
      <c r="BW1579" s="4"/>
      <c r="BX1579" s="4"/>
      <c r="BY1579" s="4"/>
      <c r="BZ1579" s="4"/>
      <c r="CA1579" s="4"/>
      <c r="CB1579" s="4"/>
      <c r="CC1579" s="4"/>
      <c r="CD1579" s="4"/>
      <c r="CE1579" s="4"/>
      <c r="CF1579" s="4"/>
      <c r="CG1579" s="4"/>
      <c r="CH1579" s="4"/>
      <c r="CI1579" s="4"/>
      <c r="CJ1579" s="4"/>
      <c r="CK1579" s="4"/>
      <c r="CL1579" s="4"/>
      <c r="CM1579" s="4"/>
      <c r="CN1579" s="4"/>
      <c r="CO1579" s="4"/>
      <c r="CP1579" s="4"/>
      <c r="CQ1579" s="4"/>
      <c r="CR1579" s="4"/>
      <c r="CS1579" s="4"/>
      <c r="CT1579" s="4"/>
      <c r="CU1579" s="4"/>
      <c r="CV1579" s="3"/>
      <c r="CW1579" s="3"/>
      <c r="CX1579" s="4"/>
      <c r="CY1579" s="4"/>
      <c r="CZ1579" s="4"/>
      <c r="DA1579" s="4"/>
      <c r="DB1579" s="4"/>
      <c r="DC1579" s="4"/>
      <c r="DD1579" s="4"/>
      <c r="DE1579" s="4"/>
      <c r="DF1579" s="4"/>
      <c r="DG1579" s="4"/>
      <c r="DH1579" s="4"/>
      <c r="DI1579" s="4"/>
      <c r="DJ1579" s="4"/>
      <c r="DK1579" s="4"/>
      <c r="DL1579" s="4"/>
      <c r="DM1579" s="4"/>
      <c r="DN1579" s="4"/>
      <c r="DO1579" s="4"/>
      <c r="DP1579" s="4"/>
      <c r="DQ1579" s="4"/>
      <c r="DR1579" s="4"/>
      <c r="DS1579" s="4"/>
      <c r="DT1579" s="4"/>
      <c r="DU1579" s="4"/>
      <c r="DV1579" s="4"/>
      <c r="DW1579" s="4"/>
      <c r="DX1579" s="4"/>
      <c r="DY1579" s="4"/>
      <c r="DZ1579" s="4"/>
      <c r="EA1579" s="4"/>
      <c r="EB1579" s="4"/>
      <c r="EC1579" s="4"/>
      <c r="ED1579" s="4"/>
      <c r="EE1579" s="4"/>
      <c r="EF1579" s="4"/>
      <c r="EG1579" s="4"/>
      <c r="EH1579" s="4"/>
      <c r="EI1579" s="4"/>
    </row>
    <row r="1580" spans="1:150" hidden="1">
      <c r="A1580" s="11" t="s">
        <v>9940</v>
      </c>
      <c r="B1580" s="3" t="s">
        <v>8373</v>
      </c>
      <c r="C1580" s="3">
        <v>1989</v>
      </c>
      <c r="D1580" s="3" t="s">
        <v>9871</v>
      </c>
      <c r="E1580" s="3" t="s">
        <v>9872</v>
      </c>
      <c r="F1580" s="3">
        <v>0</v>
      </c>
      <c r="G1580" s="3" t="s">
        <v>9178</v>
      </c>
      <c r="H1580" s="3" t="s">
        <v>9876</v>
      </c>
      <c r="I1580" s="3"/>
      <c r="J1580" s="3"/>
      <c r="K1580" s="3" t="s">
        <v>9873</v>
      </c>
      <c r="L1580" s="4"/>
      <c r="M1580" s="3" t="s">
        <v>9874</v>
      </c>
      <c r="T1580" s="4"/>
      <c r="V1580" s="4"/>
      <c r="W1580" s="4"/>
      <c r="X1580" s="5" t="s">
        <v>9875</v>
      </c>
      <c r="Y1580" s="5"/>
      <c r="Z1580" s="4"/>
      <c r="AA1580" s="4"/>
      <c r="AB1580" s="4"/>
      <c r="AE1580" s="4"/>
      <c r="AF1580" s="4"/>
      <c r="AG1580" s="3"/>
      <c r="AH1580" s="3"/>
      <c r="AI1580" s="3"/>
      <c r="AJ1580" s="3"/>
      <c r="AK1580" s="4"/>
      <c r="AL1580" s="3"/>
      <c r="AM1580" s="4"/>
      <c r="AN1580" s="3"/>
      <c r="AO1580" s="3"/>
      <c r="AP1580" s="4"/>
      <c r="AQ1580" s="3"/>
      <c r="AR1580" s="4"/>
      <c r="AS1580" s="4"/>
      <c r="AT1580" s="4"/>
      <c r="AU1580" s="4"/>
      <c r="AV1580" s="4"/>
      <c r="AW1580" s="4"/>
      <c r="AX1580" s="4"/>
      <c r="AY1580" s="4"/>
      <c r="AZ1580" s="4"/>
      <c r="BA1580" s="4"/>
      <c r="BB1580" s="3"/>
      <c r="BC1580" s="3"/>
      <c r="BD1580" s="3"/>
      <c r="BE1580" s="4"/>
      <c r="BF1580" s="3"/>
      <c r="BG1580" s="4"/>
      <c r="BH1580" s="4"/>
      <c r="BI1580" s="3"/>
      <c r="BJ1580" s="4"/>
      <c r="BK1580" s="4"/>
      <c r="BL1580" s="4"/>
      <c r="BM1580" s="4"/>
      <c r="BN1580" s="4"/>
      <c r="BO1580" s="4"/>
      <c r="BP1580" s="4"/>
      <c r="BQ1580" s="4"/>
      <c r="BR1580" s="4"/>
      <c r="BS1580" s="4"/>
      <c r="BT1580" s="4"/>
      <c r="BU1580" s="4"/>
      <c r="BV1580" s="4"/>
      <c r="BW1580" s="4"/>
      <c r="BX1580" s="4"/>
      <c r="BY1580" s="4"/>
      <c r="BZ1580" s="4"/>
      <c r="CA1580" s="3"/>
      <c r="CB1580" s="3"/>
      <c r="CC1580" s="4"/>
      <c r="CD1580" s="4"/>
      <c r="CE1580" s="4"/>
      <c r="CF1580" s="4"/>
      <c r="CG1580" s="4"/>
      <c r="CH1580" s="4"/>
      <c r="CI1580" s="4"/>
      <c r="CJ1580" s="4"/>
      <c r="CK1580" s="4"/>
      <c r="CL1580" s="4"/>
      <c r="CM1580" s="4"/>
      <c r="CN1580" s="4"/>
      <c r="CO1580" s="4"/>
      <c r="CP1580" s="4"/>
      <c r="CQ1580" s="4"/>
      <c r="CR1580" s="4"/>
      <c r="CS1580" s="4"/>
      <c r="CT1580" s="4"/>
      <c r="CU1580" s="4"/>
      <c r="CV1580" s="4"/>
      <c r="CW1580" s="4"/>
      <c r="CX1580" s="4"/>
      <c r="CY1580" s="4"/>
      <c r="CZ1580" s="4"/>
      <c r="DA1580" s="4"/>
      <c r="DB1580" s="4"/>
      <c r="DC1580" s="4"/>
      <c r="DD1580" s="4"/>
      <c r="DE1580" s="4"/>
      <c r="DF1580" s="4"/>
      <c r="DG1580" s="4"/>
      <c r="DH1580" s="4"/>
      <c r="DI1580" s="4"/>
      <c r="DJ1580" s="4"/>
      <c r="DK1580" s="4"/>
      <c r="DL1580" s="4"/>
      <c r="DM1580" s="4"/>
      <c r="DN1580" s="4"/>
    </row>
    <row r="1581" spans="1:150" hidden="1">
      <c r="A1581" s="11" t="s">
        <v>9940</v>
      </c>
      <c r="B1581" s="3" t="s">
        <v>8373</v>
      </c>
      <c r="C1581" s="3">
        <v>2009</v>
      </c>
      <c r="D1581" s="3" t="s">
        <v>5874</v>
      </c>
      <c r="E1581" s="3" t="s">
        <v>9877</v>
      </c>
      <c r="F1581" s="3">
        <v>0</v>
      </c>
      <c r="G1581" s="3" t="s">
        <v>9178</v>
      </c>
      <c r="H1581" s="3" t="s">
        <v>5879</v>
      </c>
      <c r="I1581" s="3"/>
      <c r="J1581" s="3"/>
      <c r="K1581" s="3" t="s">
        <v>5875</v>
      </c>
      <c r="L1581" s="4"/>
      <c r="M1581" s="3" t="s">
        <v>8489</v>
      </c>
      <c r="T1581" s="3" t="s">
        <v>5877</v>
      </c>
      <c r="V1581" s="4"/>
      <c r="W1581" s="4"/>
      <c r="X1581" s="5" t="s">
        <v>5880</v>
      </c>
      <c r="Y1581" s="5"/>
      <c r="Z1581" s="4"/>
      <c r="AA1581" s="4"/>
      <c r="AB1581" s="4"/>
      <c r="AE1581" s="4"/>
      <c r="AF1581" s="4"/>
      <c r="AG1581" s="3"/>
      <c r="AH1581" s="3"/>
      <c r="AI1581" s="3"/>
      <c r="AJ1581" s="3"/>
      <c r="AK1581" s="4"/>
      <c r="AL1581" s="3"/>
      <c r="AM1581" s="4"/>
      <c r="AN1581" s="3"/>
      <c r="AO1581" s="3"/>
      <c r="AP1581" s="4"/>
      <c r="AQ1581" s="3"/>
      <c r="AR1581" s="4"/>
      <c r="AS1581" s="4"/>
      <c r="AT1581" s="4"/>
      <c r="AU1581" s="4"/>
      <c r="AV1581" s="4"/>
      <c r="AW1581" s="4"/>
      <c r="AX1581" s="4"/>
      <c r="AY1581" s="4"/>
      <c r="AZ1581" s="4"/>
      <c r="BA1581" s="4"/>
      <c r="BB1581" s="3"/>
      <c r="BC1581" s="3"/>
      <c r="BD1581" s="3"/>
      <c r="BE1581" s="4"/>
      <c r="BF1581" s="3"/>
      <c r="BG1581" s="4"/>
      <c r="BH1581" s="4"/>
      <c r="BI1581" s="3"/>
      <c r="BJ1581" s="4"/>
      <c r="BK1581" s="4"/>
      <c r="BL1581" s="4"/>
      <c r="BM1581" s="4"/>
      <c r="BN1581" s="4"/>
      <c r="BO1581" s="4"/>
      <c r="BP1581" s="4"/>
      <c r="BQ1581" s="4"/>
      <c r="BR1581" s="4"/>
      <c r="BS1581" s="4"/>
      <c r="BT1581" s="4"/>
      <c r="BU1581" s="4"/>
      <c r="BV1581" s="4"/>
      <c r="BW1581" s="4"/>
      <c r="BX1581" s="4"/>
      <c r="BY1581" s="4"/>
      <c r="BZ1581" s="4"/>
      <c r="CA1581" s="4"/>
      <c r="CB1581" s="4"/>
      <c r="CC1581" s="4"/>
      <c r="CD1581" s="4"/>
      <c r="CE1581" s="4"/>
      <c r="CF1581" s="4"/>
      <c r="CG1581" s="4"/>
      <c r="CH1581" s="3"/>
      <c r="CI1581" s="3"/>
      <c r="CJ1581" s="4"/>
      <c r="CK1581" s="4"/>
      <c r="CL1581" s="4"/>
      <c r="CM1581" s="4"/>
      <c r="CN1581" s="4"/>
      <c r="CO1581" s="4"/>
      <c r="CP1581" s="4"/>
      <c r="CQ1581" s="4"/>
      <c r="CR1581" s="4"/>
      <c r="CS1581" s="4"/>
      <c r="CT1581" s="4"/>
      <c r="CU1581" s="4"/>
      <c r="CV1581" s="4"/>
      <c r="CW1581" s="4"/>
      <c r="CX1581" s="4"/>
      <c r="CY1581" s="4"/>
      <c r="CZ1581" s="4"/>
      <c r="DA1581" s="4"/>
      <c r="DB1581" s="4"/>
      <c r="DC1581" s="4"/>
      <c r="DD1581" s="4"/>
      <c r="DE1581" s="4"/>
      <c r="DF1581" s="4"/>
      <c r="DG1581" s="4"/>
      <c r="DH1581" s="4"/>
      <c r="DI1581" s="4"/>
      <c r="DJ1581" s="4"/>
      <c r="DK1581" s="4"/>
      <c r="DL1581" s="4"/>
      <c r="DM1581" s="4"/>
      <c r="DN1581" s="4"/>
      <c r="DO1581" s="4"/>
      <c r="DP1581" s="4"/>
      <c r="DQ1581" s="4"/>
      <c r="DR1581" s="4"/>
      <c r="DS1581" s="4"/>
      <c r="DT1581" s="4"/>
      <c r="DU1581" s="4"/>
    </row>
    <row r="1582" spans="1:150" hidden="1">
      <c r="A1582" s="11" t="s">
        <v>9940</v>
      </c>
      <c r="B1582" s="3" t="s">
        <v>8373</v>
      </c>
      <c r="C1582" s="3">
        <v>2004</v>
      </c>
      <c r="D1582" s="3" t="s">
        <v>2394</v>
      </c>
      <c r="E1582" s="3" t="s">
        <v>9138</v>
      </c>
      <c r="F1582" s="3">
        <v>1</v>
      </c>
      <c r="G1582" s="3"/>
      <c r="H1582" s="3" t="s">
        <v>9139</v>
      </c>
      <c r="I1582" s="3"/>
      <c r="J1582" s="3"/>
      <c r="K1582" s="3" t="s">
        <v>132</v>
      </c>
      <c r="L1582" s="4"/>
      <c r="M1582" s="3" t="s">
        <v>8382</v>
      </c>
      <c r="T1582" s="3" t="s">
        <v>2396</v>
      </c>
      <c r="V1582" s="3"/>
      <c r="W1582" s="4"/>
      <c r="X1582" s="5" t="s">
        <v>2399</v>
      </c>
      <c r="Y1582" s="5"/>
      <c r="Z1582" s="3">
        <v>1</v>
      </c>
      <c r="AA1582" s="4"/>
      <c r="AB1582" s="4"/>
      <c r="AE1582" s="3"/>
      <c r="AF1582" s="3"/>
      <c r="AG1582" s="4"/>
      <c r="AH1582" s="4"/>
      <c r="AI1582" s="4"/>
      <c r="AJ1582" s="4"/>
      <c r="AK1582" s="3"/>
      <c r="AL1582" s="3"/>
      <c r="AM1582" s="3"/>
      <c r="AN1582" s="3"/>
      <c r="AO1582" s="4"/>
      <c r="AP1582" s="3"/>
      <c r="AQ1582" s="4"/>
      <c r="AR1582" s="3"/>
      <c r="AS1582" s="3"/>
      <c r="AT1582" s="4"/>
      <c r="AU1582" s="3"/>
      <c r="AV1582" s="4"/>
      <c r="AW1582" s="4"/>
      <c r="AX1582" s="4"/>
      <c r="AY1582" s="4"/>
      <c r="AZ1582" s="4"/>
      <c r="BA1582" s="4"/>
      <c r="BB1582" s="4"/>
      <c r="BC1582" s="4"/>
      <c r="BD1582" s="4"/>
      <c r="BE1582" s="4"/>
      <c r="BF1582" s="3"/>
      <c r="BG1582" s="3"/>
      <c r="BH1582" s="3"/>
      <c r="BI1582" s="4"/>
      <c r="BJ1582" s="3"/>
      <c r="BK1582" s="4"/>
      <c r="BL1582" s="4"/>
      <c r="BM1582" s="3"/>
      <c r="BN1582" s="4"/>
      <c r="BO1582" s="4"/>
      <c r="BP1582" s="4"/>
      <c r="BQ1582" s="4"/>
      <c r="BR1582" s="4"/>
      <c r="BS1582" s="4"/>
      <c r="BT1582" s="4"/>
      <c r="BU1582" s="4"/>
      <c r="BV1582" s="4"/>
      <c r="BW1582" s="4"/>
      <c r="BX1582" s="4"/>
      <c r="BY1582" s="4"/>
      <c r="BZ1582" s="4"/>
      <c r="CA1582" s="4"/>
      <c r="CB1582" s="4"/>
      <c r="CC1582" s="4"/>
      <c r="CD1582" s="4"/>
      <c r="CE1582" s="4"/>
      <c r="CF1582" s="4"/>
      <c r="CG1582" s="4"/>
      <c r="CH1582" s="4"/>
      <c r="CI1582" s="4"/>
      <c r="CJ1582" s="4"/>
      <c r="CK1582" s="4"/>
      <c r="CL1582" s="4"/>
      <c r="CM1582" s="4"/>
      <c r="CN1582" s="4"/>
      <c r="CO1582" s="4"/>
      <c r="CP1582" s="4"/>
      <c r="CQ1582" s="4"/>
      <c r="CR1582" s="4"/>
      <c r="CS1582" s="4"/>
      <c r="CT1582" s="4"/>
      <c r="CU1582" s="4"/>
      <c r="CV1582" s="4"/>
      <c r="CW1582" s="4"/>
      <c r="CX1582" s="4"/>
      <c r="CY1582" s="4"/>
      <c r="CZ1582" s="4"/>
      <c r="DA1582" s="4"/>
      <c r="DB1582" s="4"/>
      <c r="DC1582" s="4"/>
      <c r="DD1582" s="4"/>
      <c r="DE1582" s="4"/>
      <c r="DF1582" s="4"/>
      <c r="DG1582" s="3"/>
      <c r="DH1582" s="3"/>
      <c r="DI1582" s="8"/>
      <c r="DJ1582" s="4"/>
      <c r="DK1582" s="4"/>
      <c r="DL1582" s="4"/>
      <c r="DM1582" s="4"/>
      <c r="DN1582" s="8"/>
      <c r="DO1582" s="8"/>
      <c r="DP1582" s="8"/>
      <c r="DQ1582" s="8"/>
      <c r="DR1582" s="4"/>
      <c r="DS1582" s="4"/>
      <c r="DT1582" s="4"/>
      <c r="DU1582" s="4"/>
      <c r="DV1582" s="4"/>
      <c r="DW1582" s="4"/>
      <c r="DX1582" s="4"/>
      <c r="DY1582" s="4"/>
      <c r="DZ1582" s="4"/>
      <c r="EA1582" s="4"/>
      <c r="EB1582" s="4"/>
      <c r="EC1582" s="4"/>
      <c r="ED1582" s="4"/>
      <c r="EE1582" s="4"/>
      <c r="EF1582" s="4"/>
      <c r="EG1582" s="4"/>
      <c r="EH1582" s="4"/>
      <c r="EI1582" s="4"/>
      <c r="EJ1582" s="4"/>
      <c r="EK1582" s="4"/>
      <c r="EL1582" s="8"/>
      <c r="EM1582" s="8"/>
      <c r="EN1582" s="8"/>
      <c r="EO1582" s="8"/>
      <c r="EP1582" s="8"/>
      <c r="EQ1582" s="8"/>
      <c r="ER1582" s="4"/>
      <c r="ES1582" s="4"/>
      <c r="ET1582" s="4"/>
    </row>
    <row r="1583" spans="1:150" hidden="1">
      <c r="A1583" s="11" t="s">
        <v>9940</v>
      </c>
      <c r="B1583" s="3" t="s">
        <v>8373</v>
      </c>
      <c r="C1583" s="3">
        <v>2006</v>
      </c>
      <c r="D1583" s="3" t="s">
        <v>2237</v>
      </c>
      <c r="E1583" s="3" t="s">
        <v>9140</v>
      </c>
      <c r="F1583" s="3">
        <v>1</v>
      </c>
      <c r="G1583" s="3"/>
      <c r="H1583" s="3" t="s">
        <v>2243</v>
      </c>
      <c r="I1583" s="3"/>
      <c r="J1583" s="3"/>
      <c r="K1583" s="3" t="s">
        <v>2238</v>
      </c>
      <c r="L1583" s="4"/>
      <c r="M1583" s="3" t="s">
        <v>9141</v>
      </c>
      <c r="T1583" s="3" t="s">
        <v>2240</v>
      </c>
      <c r="V1583" s="3"/>
      <c r="W1583" s="4"/>
      <c r="X1583" s="5" t="s">
        <v>2244</v>
      </c>
      <c r="Y1583" s="5"/>
      <c r="Z1583" s="3">
        <v>1</v>
      </c>
      <c r="AA1583" s="4"/>
      <c r="AB1583" s="4"/>
      <c r="AE1583" s="3"/>
      <c r="AF1583" s="3"/>
      <c r="AG1583" s="4"/>
      <c r="AH1583" s="4"/>
      <c r="AI1583" s="4"/>
      <c r="AJ1583" s="4"/>
      <c r="AK1583" s="3"/>
      <c r="AL1583" s="3"/>
      <c r="AM1583" s="3"/>
      <c r="AN1583" s="3"/>
      <c r="AO1583" s="4"/>
      <c r="AP1583" s="3"/>
      <c r="AQ1583" s="4"/>
      <c r="AR1583" s="3"/>
      <c r="AS1583" s="3"/>
      <c r="AT1583" s="4"/>
      <c r="AU1583" s="3"/>
      <c r="AV1583" s="4"/>
      <c r="AW1583" s="4"/>
      <c r="AX1583" s="4"/>
      <c r="AY1583" s="4"/>
      <c r="AZ1583" s="4"/>
      <c r="BA1583" s="4"/>
      <c r="BB1583" s="4"/>
      <c r="BC1583" s="4"/>
      <c r="BD1583" s="4"/>
      <c r="BE1583" s="4"/>
      <c r="BF1583" s="3"/>
      <c r="BG1583" s="3"/>
      <c r="BH1583" s="3"/>
      <c r="BI1583" s="4"/>
      <c r="BJ1583" s="3"/>
      <c r="BK1583" s="4"/>
      <c r="BL1583" s="4"/>
      <c r="BM1583" s="3"/>
      <c r="BN1583" s="4"/>
      <c r="BO1583" s="4"/>
      <c r="BP1583" s="4"/>
      <c r="BQ1583" s="4"/>
      <c r="BR1583" s="4"/>
      <c r="BS1583" s="4"/>
      <c r="BT1583" s="4"/>
      <c r="BU1583" s="4"/>
      <c r="BV1583" s="4"/>
      <c r="BW1583" s="4"/>
      <c r="BX1583" s="4"/>
      <c r="BY1583" s="4"/>
      <c r="BZ1583" s="4"/>
      <c r="CA1583" s="4"/>
      <c r="CB1583" s="4"/>
      <c r="CC1583" s="4"/>
      <c r="CD1583" s="4"/>
      <c r="CE1583" s="4"/>
      <c r="CF1583" s="4"/>
      <c r="CG1583" s="4"/>
      <c r="CH1583" s="4"/>
      <c r="CI1583" s="4"/>
      <c r="CJ1583" s="4"/>
      <c r="CK1583" s="4"/>
      <c r="CL1583" s="4"/>
      <c r="CM1583" s="4"/>
      <c r="CN1583" s="4"/>
      <c r="CO1583" s="4"/>
      <c r="CP1583" s="4"/>
      <c r="CQ1583" s="4"/>
      <c r="CR1583" s="4"/>
      <c r="CS1583" s="4"/>
      <c r="CT1583" s="4"/>
      <c r="CU1583" s="4"/>
      <c r="CV1583" s="4"/>
      <c r="CW1583" s="3"/>
      <c r="CX1583" s="3"/>
      <c r="CY1583" s="8"/>
      <c r="CZ1583" s="4"/>
      <c r="DA1583" s="4"/>
      <c r="DB1583" s="4"/>
      <c r="DC1583" s="4"/>
      <c r="DD1583" s="8"/>
      <c r="DE1583" s="8"/>
      <c r="DF1583" s="8"/>
      <c r="DG1583" s="8"/>
      <c r="DH1583" s="4"/>
      <c r="DI1583" s="4"/>
      <c r="DJ1583" s="4"/>
      <c r="DK1583" s="4"/>
      <c r="DL1583" s="4"/>
      <c r="DM1583" s="4"/>
      <c r="DN1583" s="4"/>
      <c r="DO1583" s="4"/>
      <c r="DP1583" s="4"/>
      <c r="DQ1583" s="4"/>
      <c r="DR1583" s="4"/>
      <c r="DS1583" s="4"/>
      <c r="DT1583" s="4"/>
      <c r="DU1583" s="4"/>
      <c r="DV1583" s="4"/>
      <c r="DW1583" s="4"/>
      <c r="DX1583" s="4"/>
      <c r="DY1583" s="4"/>
      <c r="DZ1583" s="4"/>
      <c r="EA1583" s="4"/>
      <c r="EB1583" s="8"/>
      <c r="EC1583" s="8"/>
      <c r="ED1583" s="8"/>
      <c r="EE1583" s="8"/>
      <c r="EF1583" s="8"/>
      <c r="EG1583" s="8"/>
      <c r="EH1583" s="4"/>
      <c r="EI1583" s="4"/>
      <c r="EJ1583" s="4"/>
    </row>
    <row r="1584" spans="1:150" hidden="1">
      <c r="A1584" s="11" t="s">
        <v>9940</v>
      </c>
      <c r="B1584" s="3" t="s">
        <v>8373</v>
      </c>
      <c r="C1584" s="3">
        <v>2008</v>
      </c>
      <c r="D1584" s="3" t="s">
        <v>9142</v>
      </c>
      <c r="E1584" s="3" t="s">
        <v>9143</v>
      </c>
      <c r="F1584" s="3">
        <v>1</v>
      </c>
      <c r="G1584" s="3"/>
      <c r="H1584" s="3" t="s">
        <v>9146</v>
      </c>
      <c r="I1584" s="3"/>
      <c r="J1584" s="3"/>
      <c r="K1584" s="3" t="s">
        <v>197</v>
      </c>
      <c r="L1584" s="4"/>
      <c r="M1584" s="3" t="s">
        <v>8509</v>
      </c>
      <c r="T1584" s="3" t="s">
        <v>9144</v>
      </c>
      <c r="V1584" s="3"/>
      <c r="W1584" s="4"/>
      <c r="X1584" s="5" t="s">
        <v>9145</v>
      </c>
      <c r="Y1584" s="5"/>
      <c r="Z1584" s="3">
        <v>1</v>
      </c>
      <c r="AA1584" s="4"/>
      <c r="AB1584" s="3"/>
      <c r="AE1584" s="3"/>
      <c r="AF1584" s="3"/>
      <c r="AG1584" s="4"/>
      <c r="AH1584" s="4"/>
      <c r="AI1584" s="4"/>
      <c r="AJ1584" s="4"/>
      <c r="AK1584" s="3"/>
      <c r="AL1584" s="3"/>
      <c r="AM1584" s="3"/>
      <c r="AN1584" s="3"/>
      <c r="AO1584" s="4"/>
      <c r="AP1584" s="3"/>
      <c r="AQ1584" s="4"/>
      <c r="AR1584" s="3"/>
      <c r="AS1584" s="3"/>
      <c r="AT1584" s="4"/>
      <c r="AU1584" s="3"/>
      <c r="AV1584" s="4"/>
      <c r="AW1584" s="4"/>
      <c r="AX1584" s="4"/>
      <c r="AY1584" s="4"/>
      <c r="AZ1584" s="4"/>
      <c r="BA1584" s="4"/>
      <c r="BB1584" s="4"/>
      <c r="BC1584" s="4"/>
      <c r="BD1584" s="4"/>
      <c r="BE1584" s="4"/>
      <c r="BF1584" s="3"/>
      <c r="BG1584" s="3"/>
      <c r="BH1584" s="3"/>
      <c r="BI1584" s="4"/>
      <c r="BJ1584" s="3"/>
      <c r="BK1584" s="4"/>
      <c r="BL1584" s="4"/>
      <c r="BM1584" s="3"/>
      <c r="BN1584" s="4"/>
      <c r="BO1584" s="4"/>
      <c r="BP1584" s="4"/>
      <c r="BQ1584" s="4"/>
      <c r="BR1584" s="4"/>
      <c r="BS1584" s="4"/>
      <c r="BT1584" s="4"/>
      <c r="BU1584" s="4"/>
      <c r="BV1584" s="4"/>
      <c r="BW1584" s="4"/>
      <c r="BX1584" s="4"/>
      <c r="BY1584" s="4"/>
      <c r="BZ1584" s="4"/>
      <c r="CA1584" s="4"/>
      <c r="CB1584" s="4"/>
      <c r="CC1584" s="4"/>
      <c r="CD1584" s="3"/>
      <c r="CE1584" s="3"/>
      <c r="CF1584" s="8"/>
      <c r="CG1584" s="4"/>
      <c r="CH1584" s="4"/>
      <c r="CI1584" s="4"/>
      <c r="CJ1584" s="4"/>
      <c r="CK1584" s="8"/>
      <c r="CL1584" s="8"/>
      <c r="CM1584" s="8"/>
      <c r="CN1584" s="8"/>
      <c r="CO1584" s="4"/>
      <c r="CP1584" s="4"/>
      <c r="CQ1584" s="4"/>
      <c r="CR1584" s="4"/>
      <c r="CS1584" s="4"/>
      <c r="CT1584" s="4"/>
      <c r="CU1584" s="4"/>
      <c r="CV1584" s="4"/>
      <c r="CW1584" s="4"/>
      <c r="CX1584" s="4"/>
      <c r="CY1584" s="4"/>
      <c r="CZ1584" s="4"/>
      <c r="DA1584" s="4"/>
      <c r="DB1584" s="4"/>
      <c r="DC1584" s="4"/>
      <c r="DD1584" s="4"/>
      <c r="DE1584" s="4"/>
      <c r="DF1584" s="4"/>
      <c r="DG1584" s="4"/>
      <c r="DH1584" s="4"/>
      <c r="DI1584" s="8"/>
      <c r="DJ1584" s="8"/>
      <c r="DK1584" s="8"/>
      <c r="DL1584" s="8"/>
      <c r="DM1584" s="8"/>
      <c r="DN1584" s="8"/>
      <c r="DO1584" s="4"/>
      <c r="DP1584" s="4"/>
      <c r="DQ1584" s="4"/>
    </row>
    <row r="1585" spans="1:152" hidden="1">
      <c r="A1585" s="11" t="s">
        <v>9940</v>
      </c>
      <c r="B1585" s="3" t="s">
        <v>8386</v>
      </c>
      <c r="C1585" s="3">
        <v>2003</v>
      </c>
      <c r="D1585" s="3" t="s">
        <v>3979</v>
      </c>
      <c r="E1585" s="6" t="s">
        <v>9866</v>
      </c>
      <c r="F1585" s="3">
        <v>1</v>
      </c>
      <c r="G1585" s="3"/>
      <c r="H1585" s="3" t="s">
        <v>9879</v>
      </c>
      <c r="I1585" s="3"/>
      <c r="J1585" s="3"/>
      <c r="K1585" s="3" t="s">
        <v>3980</v>
      </c>
      <c r="L1585" s="3" t="s">
        <v>9878</v>
      </c>
      <c r="M1585" s="4"/>
      <c r="T1585" s="4"/>
      <c r="V1585" s="3"/>
      <c r="W1585" s="3"/>
      <c r="X1585" s="5" t="s">
        <v>3984</v>
      </c>
      <c r="Y1585" s="5"/>
      <c r="Z1585" s="3">
        <v>0</v>
      </c>
      <c r="AA1585" s="3" t="s">
        <v>9237</v>
      </c>
      <c r="AB1585" s="4"/>
      <c r="AE1585" s="3"/>
      <c r="AF1585" s="4"/>
      <c r="AG1585" s="4"/>
      <c r="AH1585" s="4"/>
      <c r="AI1585" s="4"/>
      <c r="AJ1585" s="4"/>
      <c r="AK1585" s="3"/>
      <c r="AL1585" s="3"/>
      <c r="AM1585" s="3"/>
      <c r="AN1585" s="3"/>
      <c r="AO1585" s="4"/>
      <c r="AP1585" s="3"/>
      <c r="AQ1585" s="4"/>
      <c r="AR1585" s="4"/>
      <c r="AS1585" s="4"/>
      <c r="AT1585" s="4"/>
      <c r="AU1585" s="4"/>
      <c r="AV1585" s="4"/>
      <c r="AW1585" s="4"/>
      <c r="AX1585" s="4"/>
      <c r="AY1585" s="4"/>
      <c r="AZ1585" s="4"/>
      <c r="BA1585" s="3"/>
      <c r="BB1585" s="3"/>
      <c r="BC1585" s="4"/>
      <c r="BD1585" s="4"/>
      <c r="BE1585" s="3"/>
      <c r="BF1585" s="3"/>
      <c r="BG1585" s="3"/>
      <c r="BH1585" s="4"/>
      <c r="BI1585" s="4"/>
      <c r="BJ1585" s="4"/>
      <c r="BK1585" s="4"/>
      <c r="BL1585" s="4"/>
      <c r="BM1585" s="3"/>
      <c r="BN1585" s="3"/>
      <c r="BO1585" s="4"/>
      <c r="BP1585" s="4"/>
      <c r="BQ1585" s="4"/>
      <c r="BR1585" s="4"/>
      <c r="BS1585" s="4"/>
      <c r="BT1585" s="4"/>
      <c r="BU1585" s="4"/>
      <c r="BV1585" s="4"/>
      <c r="BW1585" s="4"/>
      <c r="BX1585" s="4"/>
      <c r="BY1585" s="4"/>
      <c r="BZ1585" s="4"/>
      <c r="CA1585" s="4"/>
      <c r="CB1585" s="4"/>
      <c r="CC1585" s="4"/>
      <c r="CD1585" s="4"/>
      <c r="CE1585" s="4"/>
      <c r="CF1585" s="4"/>
      <c r="CG1585" s="4"/>
      <c r="CH1585" s="4"/>
      <c r="CI1585" s="4"/>
      <c r="CJ1585" s="4"/>
      <c r="CK1585" s="4"/>
      <c r="CL1585" s="4"/>
      <c r="CM1585" s="4"/>
      <c r="CN1585" s="4"/>
      <c r="CO1585" s="4"/>
      <c r="CP1585" s="4"/>
      <c r="CQ1585" s="4"/>
      <c r="CR1585" s="4"/>
      <c r="CS1585" s="4"/>
      <c r="CT1585" s="4"/>
      <c r="CU1585" s="4"/>
      <c r="CV1585" s="4"/>
      <c r="CW1585" s="4"/>
      <c r="CX1585" s="4"/>
      <c r="CY1585" s="4"/>
      <c r="CZ1585" s="4"/>
      <c r="DA1585" s="4"/>
      <c r="DB1585" s="4"/>
      <c r="DC1585" s="4"/>
      <c r="DD1585" s="4"/>
      <c r="DE1585" s="4"/>
      <c r="DF1585" s="3"/>
      <c r="DG1585" s="3"/>
      <c r="DH1585" s="4"/>
      <c r="DI1585" s="4"/>
      <c r="DJ1585" s="4"/>
      <c r="DK1585" s="4"/>
      <c r="DL1585" s="4"/>
      <c r="DM1585" s="4"/>
      <c r="DN1585" s="4"/>
      <c r="DO1585" s="4"/>
      <c r="DP1585" s="4"/>
      <c r="DQ1585" s="4"/>
      <c r="DR1585" s="4"/>
      <c r="DS1585" s="4"/>
      <c r="DT1585" s="4"/>
      <c r="DU1585" s="4"/>
      <c r="DV1585" s="4"/>
      <c r="DW1585" s="4"/>
      <c r="DX1585" s="4"/>
      <c r="DY1585" s="4"/>
      <c r="DZ1585" s="4"/>
      <c r="EA1585" s="4"/>
      <c r="EB1585" s="4"/>
      <c r="EC1585" s="4"/>
      <c r="ED1585" s="4"/>
      <c r="EE1585" s="4"/>
      <c r="EF1585" s="4"/>
      <c r="EG1585" s="4"/>
      <c r="EH1585" s="4"/>
      <c r="EI1585" s="4"/>
      <c r="EJ1585" s="4"/>
      <c r="EK1585" s="4"/>
      <c r="EL1585" s="4"/>
      <c r="EM1585" s="4"/>
      <c r="EN1585" s="4"/>
      <c r="EO1585" s="4"/>
      <c r="EP1585" s="4"/>
      <c r="EQ1585" s="4"/>
      <c r="ER1585" s="4"/>
      <c r="ES1585" s="4"/>
    </row>
    <row r="1586" spans="1:152" hidden="1">
      <c r="A1586" s="11" t="s">
        <v>9940</v>
      </c>
      <c r="B1586" s="3" t="s">
        <v>8373</v>
      </c>
      <c r="C1586" s="3">
        <v>2004</v>
      </c>
      <c r="D1586" s="3" t="s">
        <v>6111</v>
      </c>
      <c r="E1586" s="3" t="s">
        <v>9147</v>
      </c>
      <c r="F1586" s="3">
        <v>1</v>
      </c>
      <c r="G1586" s="3"/>
      <c r="H1586" s="3" t="s">
        <v>6115</v>
      </c>
      <c r="I1586" s="3"/>
      <c r="J1586" s="3"/>
      <c r="K1586" s="3" t="s">
        <v>5046</v>
      </c>
      <c r="L1586" s="4"/>
      <c r="M1586" s="3" t="s">
        <v>9148</v>
      </c>
      <c r="T1586" s="3" t="s">
        <v>6113</v>
      </c>
      <c r="V1586" s="3"/>
      <c r="W1586" s="3"/>
      <c r="X1586" s="5" t="s">
        <v>6116</v>
      </c>
      <c r="Y1586" s="5"/>
      <c r="Z1586" s="3">
        <v>1</v>
      </c>
      <c r="AA1586" s="4"/>
      <c r="AB1586" s="3"/>
      <c r="AE1586" s="3"/>
      <c r="AF1586" s="3"/>
      <c r="AG1586" s="4"/>
      <c r="AH1586" s="4"/>
      <c r="AI1586" s="4"/>
      <c r="AJ1586" s="4"/>
      <c r="AK1586" s="3"/>
      <c r="AL1586" s="3"/>
      <c r="AM1586" s="3"/>
      <c r="AN1586" s="3"/>
      <c r="AO1586" s="4"/>
      <c r="AP1586" s="3"/>
      <c r="AQ1586" s="4"/>
      <c r="AR1586" s="3"/>
      <c r="AS1586" s="3"/>
      <c r="AT1586" s="4"/>
      <c r="AU1586" s="3"/>
      <c r="AV1586" s="4"/>
      <c r="AW1586" s="4"/>
      <c r="AX1586" s="4"/>
      <c r="AY1586" s="4"/>
      <c r="AZ1586" s="4"/>
      <c r="BA1586" s="4"/>
      <c r="BB1586" s="4"/>
      <c r="BC1586" s="4"/>
      <c r="BD1586" s="4"/>
      <c r="BE1586" s="4"/>
      <c r="BF1586" s="3"/>
      <c r="BG1586" s="3"/>
      <c r="BH1586" s="3"/>
      <c r="BI1586" s="4"/>
      <c r="BJ1586" s="3"/>
      <c r="BK1586" s="4"/>
      <c r="BL1586" s="4"/>
      <c r="BM1586" s="3"/>
      <c r="BN1586" s="4"/>
      <c r="BO1586" s="4"/>
      <c r="BP1586" s="4"/>
      <c r="BQ1586" s="4"/>
      <c r="BR1586" s="4"/>
      <c r="BS1586" s="4"/>
      <c r="BT1586" s="4"/>
      <c r="BU1586" s="4"/>
      <c r="BV1586" s="4"/>
      <c r="BW1586" s="4"/>
      <c r="BX1586" s="4"/>
      <c r="BY1586" s="4"/>
      <c r="BZ1586" s="4"/>
      <c r="CA1586" s="4"/>
      <c r="CB1586" s="4"/>
      <c r="CC1586" s="4"/>
      <c r="CD1586" s="4"/>
      <c r="CE1586" s="4"/>
      <c r="CF1586" s="4"/>
      <c r="CG1586" s="4"/>
      <c r="CH1586" s="4"/>
      <c r="CI1586" s="4"/>
      <c r="CJ1586" s="4"/>
      <c r="CK1586" s="4"/>
      <c r="CL1586" s="4"/>
      <c r="CM1586" s="4"/>
      <c r="CN1586" s="4"/>
      <c r="CO1586" s="4"/>
      <c r="CP1586" s="4"/>
      <c r="CQ1586" s="4"/>
      <c r="CR1586" s="4"/>
      <c r="CS1586" s="3"/>
      <c r="CT1586" s="3"/>
      <c r="CU1586" s="8"/>
      <c r="CV1586" s="4"/>
      <c r="CW1586" s="4"/>
      <c r="CX1586" s="4"/>
      <c r="CY1586" s="4"/>
      <c r="CZ1586" s="8"/>
      <c r="DA1586" s="8"/>
      <c r="DB1586" s="8"/>
      <c r="DC1586" s="8"/>
      <c r="DD1586" s="4"/>
      <c r="DE1586" s="4"/>
      <c r="DF1586" s="4"/>
      <c r="DG1586" s="4"/>
      <c r="DH1586" s="4"/>
      <c r="DI1586" s="4"/>
      <c r="DJ1586" s="4"/>
      <c r="DK1586" s="4"/>
      <c r="DL1586" s="4"/>
      <c r="DM1586" s="4"/>
      <c r="DN1586" s="4"/>
      <c r="DO1586" s="4"/>
      <c r="DP1586" s="4"/>
      <c r="DQ1586" s="4"/>
      <c r="DR1586" s="4"/>
      <c r="DS1586" s="4"/>
      <c r="DT1586" s="4"/>
      <c r="DU1586" s="4"/>
      <c r="DV1586" s="4"/>
      <c r="DW1586" s="4"/>
      <c r="DX1586" s="8"/>
      <c r="DY1586" s="8"/>
      <c r="DZ1586" s="8"/>
      <c r="EA1586" s="8"/>
      <c r="EB1586" s="8"/>
      <c r="EC1586" s="8"/>
      <c r="ED1586" s="4"/>
      <c r="EE1586" s="4"/>
      <c r="EF1586" s="4"/>
    </row>
    <row r="1587" spans="1:152" hidden="1">
      <c r="A1587" s="11" t="s">
        <v>9940</v>
      </c>
      <c r="B1587" s="3" t="s">
        <v>8373</v>
      </c>
      <c r="C1587" s="3">
        <v>2011</v>
      </c>
      <c r="D1587" s="3" t="s">
        <v>9880</v>
      </c>
      <c r="E1587" s="3" t="s">
        <v>9881</v>
      </c>
      <c r="F1587" s="3">
        <v>0</v>
      </c>
      <c r="G1587" s="3" t="s">
        <v>9265</v>
      </c>
      <c r="H1587" s="3" t="s">
        <v>9882</v>
      </c>
      <c r="I1587" s="3"/>
      <c r="J1587" s="3"/>
      <c r="K1587" s="3" t="s">
        <v>40</v>
      </c>
      <c r="L1587" s="4"/>
      <c r="M1587" s="3" t="s">
        <v>8500</v>
      </c>
      <c r="T1587" s="3" t="s">
        <v>2586</v>
      </c>
      <c r="V1587" s="4"/>
      <c r="W1587" s="4"/>
      <c r="X1587" s="5" t="s">
        <v>2589</v>
      </c>
      <c r="Y1587" s="5"/>
      <c r="Z1587" s="4"/>
      <c r="AA1587" s="4"/>
      <c r="AB1587" s="4"/>
      <c r="AE1587" s="4"/>
      <c r="AF1587" s="4"/>
      <c r="AG1587" s="3"/>
      <c r="AH1587" s="3"/>
      <c r="AI1587" s="3"/>
      <c r="AJ1587" s="3"/>
      <c r="AK1587" s="4"/>
      <c r="AL1587" s="3"/>
      <c r="AM1587" s="4"/>
      <c r="AN1587" s="3"/>
      <c r="AO1587" s="3"/>
      <c r="AP1587" s="4"/>
      <c r="AQ1587" s="3"/>
      <c r="AR1587" s="4"/>
      <c r="AS1587" s="4"/>
      <c r="AT1587" s="4"/>
      <c r="AU1587" s="4"/>
      <c r="AV1587" s="4"/>
      <c r="AW1587" s="4"/>
      <c r="AX1587" s="4"/>
      <c r="AY1587" s="4"/>
      <c r="AZ1587" s="4"/>
      <c r="BA1587" s="4"/>
      <c r="BB1587" s="3"/>
      <c r="BC1587" s="3"/>
      <c r="BD1587" s="3"/>
      <c r="BE1587" s="4"/>
      <c r="BF1587" s="3"/>
      <c r="BG1587" s="4"/>
      <c r="BH1587" s="4"/>
      <c r="BI1587" s="4"/>
      <c r="BJ1587" s="3"/>
      <c r="BK1587" s="4"/>
      <c r="BL1587" s="4"/>
      <c r="BM1587" s="4"/>
      <c r="BN1587" s="4"/>
      <c r="BO1587" s="4"/>
      <c r="BP1587" s="4"/>
      <c r="BQ1587" s="4"/>
      <c r="BR1587" s="4"/>
      <c r="BS1587" s="4"/>
      <c r="BT1587" s="4"/>
      <c r="BU1587" s="4"/>
      <c r="BV1587" s="4"/>
      <c r="BW1587" s="4"/>
      <c r="BX1587" s="4"/>
      <c r="BY1587" s="4"/>
      <c r="BZ1587" s="4"/>
      <c r="CA1587" s="4"/>
      <c r="CB1587" s="3"/>
      <c r="CC1587" s="3"/>
      <c r="CD1587" s="4"/>
      <c r="CE1587" s="4"/>
      <c r="CF1587" s="4"/>
      <c r="CG1587" s="4"/>
      <c r="CH1587" s="4"/>
      <c r="CI1587" s="4"/>
      <c r="CJ1587" s="4"/>
      <c r="CK1587" s="4"/>
      <c r="CL1587" s="4"/>
      <c r="CM1587" s="4"/>
      <c r="CN1587" s="4"/>
      <c r="CO1587" s="4"/>
      <c r="CP1587" s="4"/>
      <c r="CQ1587" s="4"/>
      <c r="CR1587" s="4"/>
      <c r="CS1587" s="4"/>
      <c r="CT1587" s="4"/>
      <c r="CU1587" s="4"/>
      <c r="CV1587" s="4"/>
      <c r="CW1587" s="4"/>
      <c r="CX1587" s="4"/>
      <c r="CY1587" s="4"/>
      <c r="CZ1587" s="4"/>
      <c r="DA1587" s="4"/>
      <c r="DB1587" s="4"/>
      <c r="DC1587" s="4"/>
      <c r="DD1587" s="4"/>
      <c r="DE1587" s="4"/>
      <c r="DF1587" s="4"/>
      <c r="DG1587" s="4"/>
      <c r="DH1587" s="4"/>
      <c r="DI1587" s="4"/>
      <c r="DJ1587" s="4"/>
      <c r="DK1587" s="4"/>
      <c r="DL1587" s="4"/>
      <c r="DM1587" s="4"/>
      <c r="DN1587" s="4"/>
      <c r="DO1587" s="4"/>
    </row>
    <row r="1588" spans="1:152" hidden="1">
      <c r="A1588" s="11" t="s">
        <v>9940</v>
      </c>
      <c r="B1588" s="3" t="s">
        <v>8386</v>
      </c>
      <c r="C1588" s="3">
        <v>2009</v>
      </c>
      <c r="D1588" s="3" t="s">
        <v>4153</v>
      </c>
      <c r="E1588" s="3" t="s">
        <v>9149</v>
      </c>
      <c r="F1588" s="3">
        <v>1</v>
      </c>
      <c r="G1588" s="3"/>
      <c r="H1588" s="3" t="s">
        <v>9151</v>
      </c>
      <c r="I1588" s="3"/>
      <c r="J1588" s="3"/>
      <c r="K1588" s="3" t="s">
        <v>4154</v>
      </c>
      <c r="L1588" s="3" t="s">
        <v>9150</v>
      </c>
      <c r="M1588" s="4"/>
      <c r="T1588" s="4"/>
      <c r="V1588" s="3"/>
      <c r="W1588" s="4"/>
      <c r="X1588" s="5" t="s">
        <v>4160</v>
      </c>
      <c r="Y1588" s="5"/>
      <c r="Z1588" s="3">
        <v>1</v>
      </c>
      <c r="AA1588" s="4"/>
      <c r="AB1588" s="4"/>
      <c r="AE1588" s="3"/>
      <c r="AF1588" s="3"/>
      <c r="AG1588" s="4"/>
      <c r="AH1588" s="3"/>
      <c r="AI1588" s="4"/>
      <c r="AJ1588" s="4"/>
      <c r="AK1588" s="3"/>
      <c r="AL1588" s="3"/>
      <c r="AM1588" s="3"/>
      <c r="AN1588" s="3"/>
      <c r="AO1588" s="4"/>
      <c r="AP1588" s="3"/>
      <c r="AQ1588" s="4"/>
      <c r="AR1588" s="4"/>
      <c r="AS1588" s="4"/>
      <c r="AT1588" s="4"/>
      <c r="AU1588" s="4"/>
      <c r="AV1588" s="4"/>
      <c r="AW1588" s="3"/>
      <c r="AX1588" s="4"/>
      <c r="AY1588" s="3"/>
      <c r="AZ1588" s="3"/>
      <c r="BA1588" s="4"/>
      <c r="BB1588" s="3"/>
      <c r="BC1588" s="3"/>
      <c r="BD1588" s="3"/>
      <c r="BE1588" s="4"/>
      <c r="BF1588" s="3"/>
      <c r="BG1588" s="4"/>
      <c r="BH1588" s="4"/>
      <c r="BI1588" s="3"/>
      <c r="BJ1588" s="3"/>
      <c r="BK1588" s="4"/>
      <c r="BL1588" s="4"/>
      <c r="BM1588" s="4"/>
      <c r="BN1588" s="4"/>
      <c r="BO1588" s="4"/>
      <c r="BP1588" s="4"/>
      <c r="BQ1588" s="4"/>
      <c r="BR1588" s="4"/>
      <c r="BS1588" s="4"/>
      <c r="BT1588" s="4"/>
      <c r="BU1588" s="4"/>
      <c r="BV1588" s="4"/>
      <c r="BW1588" s="4"/>
      <c r="BX1588" s="4"/>
      <c r="BY1588" s="4"/>
      <c r="BZ1588" s="4"/>
      <c r="CA1588" s="4"/>
      <c r="CB1588" s="4"/>
      <c r="CC1588" s="4"/>
      <c r="CD1588" s="4"/>
      <c r="CE1588" s="4"/>
      <c r="CF1588" s="4"/>
      <c r="CG1588" s="4"/>
      <c r="CH1588" s="4"/>
      <c r="CI1588" s="4"/>
      <c r="CJ1588" s="4"/>
      <c r="CK1588" s="4"/>
      <c r="CL1588" s="4"/>
      <c r="CM1588" s="4"/>
      <c r="CN1588" s="4"/>
      <c r="CO1588" s="4"/>
      <c r="CP1588" s="4"/>
      <c r="CQ1588" s="4"/>
      <c r="CR1588" s="4"/>
      <c r="CS1588" s="4"/>
      <c r="CT1588" s="4"/>
      <c r="CU1588" s="4"/>
      <c r="CV1588" s="4"/>
      <c r="CW1588" s="3"/>
      <c r="CX1588" s="3"/>
      <c r="CY1588" s="3"/>
      <c r="CZ1588" s="4"/>
      <c r="DA1588" s="4"/>
      <c r="DB1588" s="4"/>
      <c r="DC1588" s="4"/>
      <c r="DD1588" s="3"/>
      <c r="DE1588" s="3"/>
      <c r="DF1588" s="3"/>
      <c r="DG1588" s="3"/>
      <c r="DH1588" s="4"/>
      <c r="DI1588" s="4"/>
      <c r="DJ1588" s="4"/>
      <c r="DK1588" s="4"/>
      <c r="DL1588" s="8"/>
      <c r="DM1588" s="4"/>
      <c r="DN1588" s="4"/>
      <c r="DO1588" s="4"/>
      <c r="DP1588" s="4"/>
      <c r="DQ1588" s="4"/>
      <c r="DR1588" s="4"/>
      <c r="DS1588" s="4"/>
      <c r="DT1588" s="4"/>
      <c r="DU1588" s="4"/>
      <c r="DV1588" s="4"/>
      <c r="DW1588" s="4"/>
      <c r="DX1588" s="4"/>
      <c r="DY1588" s="4"/>
      <c r="DZ1588" s="4"/>
      <c r="EA1588" s="4"/>
      <c r="EB1588" s="3"/>
      <c r="EC1588" s="3"/>
      <c r="ED1588" s="3"/>
      <c r="EE1588" s="3"/>
      <c r="EF1588" s="3"/>
      <c r="EG1588" s="3"/>
      <c r="EH1588" s="4"/>
      <c r="EI1588" s="4"/>
      <c r="EJ1588" s="3"/>
    </row>
    <row r="1589" spans="1:152" hidden="1">
      <c r="A1589" s="11" t="s">
        <v>9940</v>
      </c>
      <c r="B1589" s="3" t="s">
        <v>8373</v>
      </c>
      <c r="C1589" s="3">
        <v>2009</v>
      </c>
      <c r="D1589" s="3" t="s">
        <v>1555</v>
      </c>
      <c r="E1589" s="3" t="s">
        <v>9883</v>
      </c>
      <c r="F1589" s="3">
        <v>0</v>
      </c>
      <c r="G1589" s="3" t="s">
        <v>9249</v>
      </c>
      <c r="H1589" s="3" t="s">
        <v>1560</v>
      </c>
      <c r="I1589" s="3"/>
      <c r="J1589" s="3"/>
      <c r="K1589" s="3" t="s">
        <v>1556</v>
      </c>
      <c r="L1589" s="4"/>
      <c r="M1589" s="3" t="s">
        <v>9522</v>
      </c>
      <c r="T1589" s="3" t="s">
        <v>1558</v>
      </c>
      <c r="V1589" s="4"/>
      <c r="W1589" s="4"/>
      <c r="X1589" s="5" t="s">
        <v>1561</v>
      </c>
      <c r="Y1589" s="5"/>
      <c r="Z1589" s="4"/>
      <c r="AA1589" s="4"/>
      <c r="AB1589" s="4"/>
      <c r="AE1589" s="4"/>
      <c r="AF1589" s="4"/>
      <c r="AG1589" s="3"/>
      <c r="AH1589" s="3"/>
      <c r="AI1589" s="3"/>
      <c r="AJ1589" s="3"/>
      <c r="AK1589" s="4"/>
      <c r="AL1589" s="3"/>
      <c r="AM1589" s="4"/>
      <c r="AN1589" s="3"/>
      <c r="AO1589" s="3"/>
      <c r="AP1589" s="4"/>
      <c r="AQ1589" s="3"/>
      <c r="AR1589" s="4"/>
      <c r="AS1589" s="4"/>
      <c r="AT1589" s="4"/>
      <c r="AU1589" s="4"/>
      <c r="AV1589" s="4"/>
      <c r="AW1589" s="4"/>
      <c r="AX1589" s="4"/>
      <c r="AY1589" s="4"/>
      <c r="AZ1589" s="4"/>
      <c r="BA1589" s="4"/>
      <c r="BB1589" s="3"/>
      <c r="BC1589" s="3"/>
      <c r="BD1589" s="3"/>
      <c r="BE1589" s="4"/>
      <c r="BF1589" s="3"/>
      <c r="BG1589" s="4"/>
      <c r="BH1589" s="4"/>
      <c r="BI1589" s="3"/>
      <c r="BJ1589" s="4"/>
      <c r="BK1589" s="4"/>
      <c r="BL1589" s="4"/>
      <c r="BM1589" s="4"/>
      <c r="BN1589" s="4"/>
      <c r="BO1589" s="4"/>
      <c r="BP1589" s="4"/>
      <c r="BQ1589" s="4"/>
      <c r="BR1589" s="4"/>
      <c r="BS1589" s="4"/>
      <c r="BT1589" s="4"/>
      <c r="BU1589" s="4"/>
      <c r="BV1589" s="4"/>
      <c r="BW1589" s="4"/>
      <c r="BX1589" s="4"/>
      <c r="BY1589" s="4"/>
      <c r="BZ1589" s="4"/>
      <c r="CA1589" s="4"/>
      <c r="CB1589" s="4"/>
      <c r="CC1589" s="4"/>
      <c r="CD1589" s="4"/>
      <c r="CE1589" s="4"/>
      <c r="CF1589" s="4"/>
      <c r="CG1589" s="4"/>
      <c r="CH1589" s="4"/>
      <c r="CI1589" s="4"/>
      <c r="CJ1589" s="4"/>
      <c r="CK1589" s="4"/>
      <c r="CL1589" s="4"/>
      <c r="CM1589" s="4"/>
      <c r="CN1589" s="4"/>
      <c r="CO1589" s="4"/>
      <c r="CP1589" s="4"/>
      <c r="CQ1589" s="4"/>
      <c r="CR1589" s="4"/>
      <c r="CS1589" s="4"/>
      <c r="CT1589" s="4"/>
      <c r="CU1589" s="4"/>
      <c r="CV1589" s="3"/>
      <c r="CW1589" s="3"/>
      <c r="CX1589" s="4"/>
      <c r="CY1589" s="4"/>
      <c r="CZ1589" s="4"/>
      <c r="DA1589" s="4"/>
      <c r="DB1589" s="4"/>
      <c r="DC1589" s="4"/>
      <c r="DD1589" s="4"/>
      <c r="DE1589" s="4"/>
      <c r="DF1589" s="4"/>
      <c r="DG1589" s="4"/>
      <c r="DH1589" s="4"/>
      <c r="DI1589" s="4"/>
      <c r="DJ1589" s="4"/>
      <c r="DK1589" s="4"/>
      <c r="DL1589" s="4"/>
      <c r="DM1589" s="4"/>
      <c r="DN1589" s="4"/>
      <c r="DO1589" s="4"/>
      <c r="DP1589" s="4"/>
      <c r="DQ1589" s="4"/>
      <c r="DR1589" s="4"/>
      <c r="DS1589" s="4"/>
      <c r="DT1589" s="4"/>
      <c r="DU1589" s="4"/>
      <c r="DV1589" s="4"/>
      <c r="DW1589" s="4"/>
      <c r="DX1589" s="4"/>
      <c r="DY1589" s="4"/>
      <c r="DZ1589" s="4"/>
      <c r="EA1589" s="4"/>
      <c r="EB1589" s="4"/>
      <c r="EC1589" s="4"/>
      <c r="ED1589" s="4"/>
      <c r="EE1589" s="4"/>
      <c r="EF1589" s="4"/>
      <c r="EG1589" s="4"/>
      <c r="EH1589" s="4"/>
      <c r="EI1589" s="4"/>
    </row>
    <row r="1590" spans="1:152" hidden="1">
      <c r="A1590" s="11" t="s">
        <v>9940</v>
      </c>
      <c r="B1590" s="3" t="s">
        <v>8386</v>
      </c>
      <c r="C1590" s="3">
        <v>1996</v>
      </c>
      <c r="D1590" s="3" t="s">
        <v>9884</v>
      </c>
      <c r="E1590" s="3" t="s">
        <v>9885</v>
      </c>
      <c r="F1590" s="3">
        <v>1</v>
      </c>
      <c r="G1590" s="3"/>
      <c r="H1590" s="3" t="s">
        <v>9889</v>
      </c>
      <c r="I1590" s="3"/>
      <c r="J1590" s="3"/>
      <c r="K1590" s="3" t="s">
        <v>9886</v>
      </c>
      <c r="L1590" s="3" t="s">
        <v>9887</v>
      </c>
      <c r="M1590" s="4"/>
      <c r="T1590" s="4"/>
      <c r="V1590" s="3"/>
      <c r="W1590" s="3"/>
      <c r="X1590" s="5" t="s">
        <v>9888</v>
      </c>
      <c r="Y1590" s="5"/>
      <c r="Z1590" s="3">
        <v>0</v>
      </c>
      <c r="AA1590" s="3" t="s">
        <v>9237</v>
      </c>
      <c r="AB1590" s="4"/>
      <c r="AE1590" s="3"/>
      <c r="AF1590" s="4"/>
      <c r="AG1590" s="4"/>
      <c r="AH1590" s="4"/>
      <c r="AI1590" s="4"/>
      <c r="AJ1590" s="4"/>
      <c r="AK1590" s="3"/>
      <c r="AL1590" s="3"/>
      <c r="AM1590" s="3"/>
      <c r="AN1590" s="3"/>
      <c r="AO1590" s="4"/>
      <c r="AP1590" s="3"/>
      <c r="AQ1590" s="4"/>
      <c r="AR1590" s="4"/>
      <c r="AS1590" s="4"/>
      <c r="AT1590" s="4"/>
      <c r="AU1590" s="4"/>
      <c r="AV1590" s="4"/>
      <c r="AW1590" s="3"/>
      <c r="AX1590" s="4"/>
      <c r="AY1590" s="3"/>
      <c r="AZ1590" s="3"/>
      <c r="BA1590" s="4"/>
      <c r="BB1590" s="4"/>
      <c r="BC1590" s="3"/>
      <c r="BD1590" s="3"/>
      <c r="BE1590" s="3"/>
      <c r="BF1590" s="4"/>
      <c r="BG1590" s="4"/>
      <c r="BH1590" s="4"/>
      <c r="BI1590" s="4"/>
      <c r="BJ1590" s="4"/>
      <c r="BK1590" s="3"/>
      <c r="BL1590" s="3"/>
      <c r="BM1590" s="4"/>
      <c r="BN1590" s="4"/>
      <c r="BO1590" s="4"/>
      <c r="BP1590" s="4"/>
      <c r="BQ1590" s="4"/>
      <c r="BR1590" s="4"/>
      <c r="BS1590" s="4"/>
      <c r="BT1590" s="4"/>
      <c r="BU1590" s="4"/>
      <c r="BV1590" s="4"/>
      <c r="BW1590" s="4"/>
      <c r="BX1590" s="4"/>
      <c r="BY1590" s="4"/>
      <c r="BZ1590" s="4"/>
      <c r="CA1590" s="4"/>
      <c r="CB1590" s="4"/>
      <c r="CC1590" s="4"/>
      <c r="CD1590" s="4"/>
      <c r="CE1590" s="4"/>
      <c r="CF1590" s="4"/>
      <c r="CG1590" s="4"/>
      <c r="CH1590" s="4"/>
      <c r="CI1590" s="4"/>
      <c r="CJ1590" s="4"/>
      <c r="CK1590" s="4"/>
      <c r="CL1590" s="4"/>
      <c r="CM1590" s="4"/>
      <c r="CN1590" s="4"/>
      <c r="CO1590" s="4"/>
      <c r="CP1590" s="4"/>
      <c r="CQ1590" s="4"/>
      <c r="CR1590" s="4"/>
      <c r="CS1590" s="4"/>
      <c r="CT1590" s="4"/>
      <c r="CU1590" s="4"/>
      <c r="CV1590" s="4"/>
      <c r="CW1590" s="4"/>
      <c r="CX1590" s="4"/>
      <c r="CY1590" s="4"/>
      <c r="CZ1590" s="4"/>
      <c r="DA1590" s="4"/>
      <c r="DB1590" s="4"/>
      <c r="DC1590" s="4"/>
      <c r="DD1590" s="3"/>
      <c r="DE1590" s="3"/>
      <c r="DF1590" s="4"/>
      <c r="DG1590" s="4"/>
      <c r="DH1590" s="4"/>
      <c r="DI1590" s="4"/>
      <c r="DJ1590" s="4"/>
      <c r="DK1590" s="4"/>
      <c r="DL1590" s="4"/>
      <c r="DM1590" s="4"/>
      <c r="DN1590" s="4"/>
      <c r="DO1590" s="4"/>
      <c r="DP1590" s="4"/>
      <c r="DQ1590" s="4"/>
      <c r="DR1590" s="4"/>
      <c r="DS1590" s="4"/>
      <c r="DT1590" s="4"/>
      <c r="DU1590" s="4"/>
      <c r="DV1590" s="4"/>
      <c r="DW1590" s="4"/>
      <c r="DX1590" s="4"/>
      <c r="DY1590" s="4"/>
      <c r="DZ1590" s="4"/>
      <c r="EA1590" s="4"/>
      <c r="EB1590" s="4"/>
      <c r="EC1590" s="4"/>
      <c r="ED1590" s="4"/>
      <c r="EE1590" s="4"/>
      <c r="EF1590" s="4"/>
      <c r="EG1590" s="4"/>
      <c r="EH1590" s="4"/>
      <c r="EI1590" s="4"/>
      <c r="EJ1590" s="4"/>
      <c r="EK1590" s="4"/>
      <c r="EL1590" s="4"/>
      <c r="EM1590" s="4"/>
      <c r="EN1590" s="4"/>
      <c r="EO1590" s="4"/>
      <c r="EP1590" s="4"/>
      <c r="EQ1590" s="4"/>
    </row>
    <row r="1591" spans="1:152" hidden="1">
      <c r="A1591" s="11" t="s">
        <v>9940</v>
      </c>
      <c r="B1591" s="3" t="s">
        <v>8379</v>
      </c>
      <c r="C1591" s="3">
        <v>2010</v>
      </c>
      <c r="D1591" s="3" t="s">
        <v>7566</v>
      </c>
      <c r="E1591" s="3" t="s">
        <v>9152</v>
      </c>
      <c r="F1591" s="3">
        <v>1</v>
      </c>
      <c r="G1591" s="4"/>
      <c r="H1591" s="3" t="s">
        <v>7569</v>
      </c>
      <c r="I1591" s="3"/>
      <c r="J1591" s="3"/>
      <c r="K1591" s="4"/>
      <c r="L1591" s="4"/>
      <c r="M1591" s="4"/>
      <c r="T1591" s="4"/>
      <c r="V1591" s="3"/>
      <c r="W1591" s="4"/>
      <c r="X1591" s="5" t="s">
        <v>7570</v>
      </c>
      <c r="Y1591" s="5"/>
      <c r="Z1591" s="3">
        <v>1</v>
      </c>
      <c r="AA1591" s="4"/>
      <c r="AB1591" s="4"/>
      <c r="AE1591" s="3"/>
      <c r="AF1591" s="3"/>
      <c r="AG1591" s="3"/>
      <c r="AH1591" s="4"/>
      <c r="AI1591" s="4"/>
      <c r="AJ1591" s="4"/>
      <c r="AK1591" s="3"/>
      <c r="AL1591" s="3"/>
      <c r="AM1591" s="3"/>
      <c r="AN1591" s="3"/>
      <c r="AO1591" s="4"/>
      <c r="AP1591" s="4"/>
      <c r="AQ1591" s="3"/>
      <c r="AR1591" s="4"/>
      <c r="AS1591" s="4"/>
      <c r="AT1591" s="4"/>
      <c r="AU1591" s="4"/>
      <c r="AV1591" s="4"/>
      <c r="AW1591" s="4"/>
      <c r="AX1591" s="4"/>
      <c r="AY1591" s="4"/>
      <c r="AZ1591" s="4"/>
      <c r="BA1591" s="3"/>
      <c r="BB1591" s="4"/>
      <c r="BC1591" s="3"/>
      <c r="BD1591" s="3"/>
      <c r="BE1591" s="3"/>
      <c r="BF1591" s="4"/>
      <c r="BG1591" s="3"/>
      <c r="BH1591" s="3"/>
      <c r="BI1591" s="4"/>
      <c r="BJ1591" s="4"/>
      <c r="BK1591" s="4"/>
      <c r="BL1591" s="4"/>
      <c r="BM1591" s="4"/>
      <c r="BN1591" s="4"/>
      <c r="BO1591" s="4"/>
      <c r="BP1591" s="4"/>
      <c r="BQ1591" s="4"/>
      <c r="BR1591" s="4"/>
      <c r="BS1591" s="4"/>
      <c r="BT1591" s="4"/>
      <c r="BU1591" s="4"/>
      <c r="BV1591" s="4"/>
      <c r="BW1591" s="4"/>
      <c r="BX1591" s="4"/>
      <c r="BY1591" s="4"/>
      <c r="BZ1591" s="4"/>
      <c r="CA1591" s="4"/>
      <c r="CB1591" s="4"/>
      <c r="CC1591" s="4"/>
      <c r="CD1591" s="4"/>
      <c r="CE1591" s="4"/>
      <c r="CF1591" s="4"/>
      <c r="CG1591" s="4"/>
      <c r="CH1591" s="4"/>
      <c r="CI1591" s="4"/>
      <c r="CJ1591" s="4"/>
      <c r="CK1591" s="4"/>
      <c r="CL1591" s="4"/>
      <c r="CM1591" s="4"/>
      <c r="CN1591" s="4"/>
      <c r="CO1591" s="4"/>
      <c r="CP1591" s="4"/>
      <c r="CQ1591" s="4"/>
      <c r="CR1591" s="4"/>
      <c r="CS1591" s="4"/>
      <c r="CT1591" s="4"/>
      <c r="CU1591" s="4"/>
      <c r="CV1591" s="4"/>
      <c r="CW1591" s="4"/>
      <c r="CX1591" s="4"/>
      <c r="CY1591" s="3"/>
      <c r="CZ1591" s="3"/>
      <c r="DA1591" s="8"/>
      <c r="DB1591" s="4"/>
      <c r="DC1591" s="4"/>
      <c r="DD1591" s="4"/>
      <c r="DE1591" s="4"/>
      <c r="DF1591" s="8"/>
      <c r="DG1591" s="8"/>
      <c r="DH1591" s="8"/>
      <c r="DI1591" s="8"/>
      <c r="DJ1591" s="4"/>
      <c r="DK1591" s="4"/>
      <c r="DL1591" s="4"/>
      <c r="DM1591" s="4"/>
      <c r="DN1591" s="4"/>
      <c r="DO1591" s="4"/>
      <c r="DP1591" s="4"/>
      <c r="DQ1591" s="4"/>
      <c r="DR1591" s="4"/>
      <c r="DS1591" s="4"/>
      <c r="DT1591" s="4"/>
      <c r="DU1591" s="4"/>
      <c r="DV1591" s="4"/>
      <c r="DW1591" s="4"/>
      <c r="DX1591" s="4"/>
      <c r="DY1591" s="4"/>
      <c r="DZ1591" s="4"/>
      <c r="EA1591" s="4"/>
      <c r="EB1591" s="4"/>
      <c r="EC1591" s="4"/>
      <c r="ED1591" s="8"/>
      <c r="EE1591" s="8"/>
      <c r="EF1591" s="8"/>
      <c r="EG1591" s="8"/>
      <c r="EH1591" s="8"/>
      <c r="EI1591" s="8"/>
      <c r="EJ1591" s="4"/>
      <c r="EK1591" s="4"/>
      <c r="EL1591" s="4"/>
    </row>
    <row r="1592" spans="1:152" hidden="1">
      <c r="A1592" s="11" t="s">
        <v>9940</v>
      </c>
      <c r="B1592" s="3" t="s">
        <v>8373</v>
      </c>
      <c r="C1592" s="3">
        <v>1996</v>
      </c>
      <c r="D1592" s="3" t="s">
        <v>9890</v>
      </c>
      <c r="E1592" s="3" t="s">
        <v>9891</v>
      </c>
      <c r="F1592" s="3">
        <v>1</v>
      </c>
      <c r="G1592" s="3"/>
      <c r="H1592" s="3" t="s">
        <v>9894</v>
      </c>
      <c r="I1592" s="3"/>
      <c r="J1592" s="3"/>
      <c r="K1592" s="3" t="s">
        <v>132</v>
      </c>
      <c r="L1592" s="4"/>
      <c r="M1592" s="3" t="s">
        <v>8382</v>
      </c>
      <c r="T1592" s="3" t="s">
        <v>9892</v>
      </c>
      <c r="V1592" s="3"/>
      <c r="W1592" s="3"/>
      <c r="X1592" s="5" t="s">
        <v>9893</v>
      </c>
      <c r="Y1592" s="5"/>
      <c r="Z1592" s="3">
        <v>0</v>
      </c>
      <c r="AA1592" s="3" t="s">
        <v>9249</v>
      </c>
      <c r="AB1592" s="4"/>
      <c r="AE1592" s="3"/>
      <c r="AF1592" s="4"/>
      <c r="AG1592" s="4"/>
      <c r="AH1592" s="4"/>
      <c r="AI1592" s="4"/>
      <c r="AJ1592" s="4"/>
      <c r="AK1592" s="3"/>
      <c r="AL1592" s="3"/>
      <c r="AM1592" s="3"/>
      <c r="AN1592" s="3"/>
      <c r="AO1592" s="4"/>
      <c r="AP1592" s="3"/>
      <c r="AQ1592" s="4"/>
      <c r="AR1592" s="10"/>
      <c r="AS1592" s="3"/>
      <c r="AT1592" s="4"/>
      <c r="AU1592" s="3"/>
      <c r="AV1592" s="4"/>
      <c r="AW1592" s="3"/>
      <c r="AX1592" s="4"/>
      <c r="AY1592" s="4"/>
      <c r="AZ1592" s="4"/>
      <c r="BA1592" s="4"/>
      <c r="BB1592" s="4"/>
      <c r="BC1592" s="4"/>
      <c r="BD1592" s="3"/>
      <c r="BE1592" s="3"/>
      <c r="BF1592" s="3"/>
      <c r="BG1592" s="4"/>
      <c r="BH1592" s="3"/>
      <c r="BI1592" s="4"/>
      <c r="BJ1592" s="4"/>
      <c r="BK1592" s="3"/>
      <c r="BL1592" s="4"/>
      <c r="BM1592" s="4"/>
      <c r="BN1592" s="4"/>
      <c r="BO1592" s="4"/>
      <c r="BP1592" s="4"/>
      <c r="BQ1592" s="4"/>
      <c r="BR1592" s="4"/>
      <c r="BS1592" s="4"/>
      <c r="BT1592" s="4"/>
      <c r="BU1592" s="4"/>
      <c r="BV1592" s="4"/>
      <c r="BW1592" s="4"/>
      <c r="BX1592" s="4"/>
      <c r="BY1592" s="4"/>
      <c r="BZ1592" s="4"/>
      <c r="CA1592" s="4"/>
      <c r="CB1592" s="4"/>
      <c r="CC1592" s="4"/>
      <c r="CD1592" s="4"/>
      <c r="CE1592" s="4"/>
      <c r="CF1592" s="4"/>
      <c r="CG1592" s="4"/>
      <c r="CH1592" s="4"/>
      <c r="CI1592" s="4"/>
      <c r="CJ1592" s="4"/>
      <c r="CK1592" s="4"/>
      <c r="CL1592" s="4"/>
      <c r="CM1592" s="4"/>
      <c r="CN1592" s="4"/>
      <c r="CO1592" s="4"/>
      <c r="CP1592" s="4"/>
      <c r="CQ1592" s="4"/>
      <c r="CR1592" s="4"/>
      <c r="CS1592" s="4"/>
      <c r="CT1592" s="3"/>
      <c r="CU1592" s="3"/>
      <c r="CV1592" s="4"/>
      <c r="CW1592" s="4"/>
      <c r="CX1592" s="4"/>
      <c r="CY1592" s="4"/>
      <c r="CZ1592" s="4"/>
      <c r="DA1592" s="4"/>
      <c r="DB1592" s="4"/>
      <c r="DC1592" s="4"/>
      <c r="DD1592" s="4"/>
      <c r="DE1592" s="4"/>
      <c r="DF1592" s="4"/>
      <c r="DG1592" s="4"/>
      <c r="DH1592" s="4"/>
      <c r="DI1592" s="4"/>
      <c r="DJ1592" s="4"/>
      <c r="DK1592" s="4"/>
      <c r="DL1592" s="4"/>
      <c r="DM1592" s="4"/>
      <c r="DN1592" s="4"/>
      <c r="DO1592" s="4"/>
      <c r="DP1592" s="4"/>
      <c r="DQ1592" s="4"/>
      <c r="DR1592" s="4"/>
      <c r="DS1592" s="4"/>
      <c r="DT1592" s="4"/>
      <c r="DU1592" s="4"/>
      <c r="DV1592" s="4"/>
      <c r="DW1592" s="4"/>
      <c r="DX1592" s="4"/>
      <c r="DY1592" s="4"/>
      <c r="DZ1592" s="4"/>
      <c r="EA1592" s="4"/>
      <c r="EB1592" s="4"/>
      <c r="EC1592" s="4"/>
      <c r="ED1592" s="4"/>
      <c r="EE1592" s="4"/>
      <c r="EF1592" s="4"/>
      <c r="EG1592" s="4"/>
    </row>
    <row r="1593" spans="1:152" hidden="1">
      <c r="A1593" s="11" t="s">
        <v>9940</v>
      </c>
      <c r="B1593" s="3" t="s">
        <v>8373</v>
      </c>
      <c r="C1593" s="3">
        <v>2003</v>
      </c>
      <c r="D1593" s="3" t="s">
        <v>4190</v>
      </c>
      <c r="E1593" s="3" t="s">
        <v>9153</v>
      </c>
      <c r="F1593" s="3">
        <v>1</v>
      </c>
      <c r="G1593" s="3"/>
      <c r="H1593" s="3" t="s">
        <v>4195</v>
      </c>
      <c r="I1593" s="3"/>
      <c r="J1593" s="3"/>
      <c r="K1593" s="3" t="s">
        <v>4191</v>
      </c>
      <c r="L1593" s="4"/>
      <c r="M1593" s="3" t="s">
        <v>9154</v>
      </c>
      <c r="T1593" s="4"/>
      <c r="V1593" s="3"/>
      <c r="W1593" s="4"/>
      <c r="X1593" s="5" t="s">
        <v>4196</v>
      </c>
      <c r="Y1593" s="5"/>
      <c r="Z1593" s="3">
        <v>1</v>
      </c>
      <c r="AA1593" s="4"/>
      <c r="AB1593" s="4"/>
      <c r="AE1593" s="3"/>
      <c r="AF1593" s="3"/>
      <c r="AG1593" s="4"/>
      <c r="AH1593" s="4"/>
      <c r="AI1593" s="3"/>
      <c r="AJ1593" s="3"/>
      <c r="AK1593" s="3"/>
      <c r="AL1593" s="3"/>
      <c r="AM1593" s="3"/>
      <c r="AN1593" s="3"/>
      <c r="AO1593" s="4"/>
      <c r="AP1593" s="4"/>
      <c r="AQ1593" s="4"/>
      <c r="AR1593" s="3"/>
      <c r="AS1593" s="3"/>
      <c r="AT1593" s="4"/>
      <c r="AU1593" s="3"/>
      <c r="AV1593" s="4"/>
      <c r="AW1593" s="4"/>
      <c r="AX1593" s="4"/>
      <c r="AY1593" s="4"/>
      <c r="AZ1593" s="4"/>
      <c r="BA1593" s="4"/>
      <c r="BB1593" s="4"/>
      <c r="BC1593" s="4"/>
      <c r="BD1593" s="4"/>
      <c r="BE1593" s="4"/>
      <c r="BF1593" s="3"/>
      <c r="BG1593" s="3"/>
      <c r="BH1593" s="3"/>
      <c r="BI1593" s="4"/>
      <c r="BJ1593" s="3"/>
      <c r="BK1593" s="4"/>
      <c r="BL1593" s="4"/>
      <c r="BM1593" s="3"/>
      <c r="BN1593" s="4"/>
      <c r="BO1593" s="4"/>
      <c r="BP1593" s="4"/>
      <c r="BQ1593" s="4"/>
      <c r="BR1593" s="4"/>
      <c r="BS1593" s="4"/>
      <c r="BT1593" s="4"/>
      <c r="BU1593" s="4"/>
      <c r="BV1593" s="4"/>
      <c r="BW1593" s="4"/>
      <c r="BX1593" s="4"/>
      <c r="BY1593" s="4"/>
      <c r="BZ1593" s="4"/>
      <c r="CA1593" s="4"/>
      <c r="CB1593" s="4"/>
      <c r="CC1593" s="4"/>
      <c r="CD1593" s="4"/>
      <c r="CE1593" s="4"/>
      <c r="CF1593" s="4"/>
      <c r="CG1593" s="4"/>
      <c r="CH1593" s="4"/>
      <c r="CI1593" s="4"/>
      <c r="CJ1593" s="4"/>
      <c r="CK1593" s="4"/>
      <c r="CL1593" s="4"/>
      <c r="CM1593" s="4"/>
      <c r="CN1593" s="4"/>
      <c r="CO1593" s="4"/>
      <c r="CP1593" s="4"/>
      <c r="CQ1593" s="4"/>
      <c r="CR1593" s="4"/>
      <c r="CS1593" s="4"/>
      <c r="CT1593" s="4"/>
      <c r="CU1593" s="4"/>
      <c r="CV1593" s="4"/>
      <c r="CW1593" s="4"/>
      <c r="CX1593" s="4"/>
      <c r="CY1593" s="4"/>
      <c r="CZ1593" s="4"/>
      <c r="DA1593" s="3"/>
      <c r="DB1593" s="3"/>
      <c r="DC1593" s="8"/>
      <c r="DD1593" s="4"/>
      <c r="DE1593" s="4"/>
      <c r="DF1593" s="4"/>
      <c r="DG1593" s="4"/>
      <c r="DH1593" s="8"/>
      <c r="DI1593" s="8"/>
      <c r="DJ1593" s="8"/>
      <c r="DK1593" s="8"/>
      <c r="DL1593" s="4"/>
      <c r="DM1593" s="4"/>
      <c r="DN1593" s="4"/>
      <c r="DO1593" s="4"/>
      <c r="DP1593" s="4"/>
      <c r="DQ1593" s="4"/>
      <c r="DR1593" s="4"/>
      <c r="DS1593" s="4"/>
      <c r="DT1593" s="4"/>
      <c r="DU1593" s="4"/>
      <c r="DV1593" s="4"/>
      <c r="DW1593" s="4"/>
      <c r="DX1593" s="4"/>
      <c r="DY1593" s="4"/>
      <c r="DZ1593" s="4"/>
      <c r="EA1593" s="4"/>
      <c r="EB1593" s="4"/>
      <c r="EC1593" s="4"/>
      <c r="ED1593" s="4"/>
      <c r="EE1593" s="4"/>
      <c r="EF1593" s="8"/>
      <c r="EG1593" s="8"/>
      <c r="EH1593" s="8"/>
      <c r="EI1593" s="8"/>
      <c r="EJ1593" s="8"/>
      <c r="EK1593" s="8"/>
      <c r="EL1593" s="4"/>
      <c r="EM1593" s="4"/>
      <c r="EN1593" s="4"/>
    </row>
    <row r="1594" spans="1:152" hidden="1">
      <c r="A1594" s="11" t="s">
        <v>9940</v>
      </c>
      <c r="B1594" s="3" t="s">
        <v>8386</v>
      </c>
      <c r="C1594" s="3">
        <v>2005</v>
      </c>
      <c r="D1594" s="3" t="s">
        <v>5183</v>
      </c>
      <c r="E1594" s="3" t="s">
        <v>9155</v>
      </c>
      <c r="F1594" s="3">
        <v>1</v>
      </c>
      <c r="G1594" s="3"/>
      <c r="H1594" s="3" t="s">
        <v>9157</v>
      </c>
      <c r="I1594" s="3"/>
      <c r="J1594" s="3"/>
      <c r="K1594" s="3" t="s">
        <v>5184</v>
      </c>
      <c r="L1594" s="3" t="s">
        <v>9156</v>
      </c>
      <c r="M1594" s="4"/>
      <c r="T1594" s="4"/>
      <c r="V1594" s="3"/>
      <c r="W1594" s="4"/>
      <c r="X1594" s="5" t="s">
        <v>5189</v>
      </c>
      <c r="Y1594" s="5"/>
      <c r="Z1594" s="3">
        <v>1</v>
      </c>
      <c r="AA1594" s="4"/>
      <c r="AB1594" s="4"/>
      <c r="AE1594" s="3"/>
      <c r="AF1594" s="3"/>
      <c r="AG1594" s="4"/>
      <c r="AH1594" s="3"/>
      <c r="AI1594" s="4"/>
      <c r="AJ1594" s="4"/>
      <c r="AK1594" s="3"/>
      <c r="AL1594" s="3"/>
      <c r="AM1594" s="3"/>
      <c r="AN1594" s="3"/>
      <c r="AO1594" s="4"/>
      <c r="AP1594" s="3"/>
      <c r="AQ1594" s="4"/>
      <c r="AR1594" s="4"/>
      <c r="AS1594" s="4"/>
      <c r="AT1594" s="4"/>
      <c r="AU1594" s="4"/>
      <c r="AV1594" s="4"/>
      <c r="AW1594" s="4"/>
      <c r="AX1594" s="4"/>
      <c r="AY1594" s="4"/>
      <c r="AZ1594" s="4"/>
      <c r="BA1594" s="3"/>
      <c r="BB1594" s="3"/>
      <c r="BC1594" s="4"/>
      <c r="BD1594" s="4"/>
      <c r="BE1594" s="3"/>
      <c r="BF1594" s="3"/>
      <c r="BG1594" s="3"/>
      <c r="BH1594" s="4"/>
      <c r="BI1594" s="4"/>
      <c r="BJ1594" s="4"/>
      <c r="BK1594" s="4"/>
      <c r="BL1594" s="4"/>
      <c r="BM1594" s="3"/>
      <c r="BN1594" s="4"/>
      <c r="BO1594" s="3"/>
      <c r="BP1594" s="4"/>
      <c r="BQ1594" s="4"/>
      <c r="BR1594" s="4"/>
      <c r="BS1594" s="4"/>
      <c r="BT1594" s="4"/>
      <c r="BU1594" s="4"/>
      <c r="BV1594" s="4"/>
      <c r="BW1594" s="4"/>
      <c r="BX1594" s="4"/>
      <c r="BY1594" s="4"/>
      <c r="BZ1594" s="4"/>
      <c r="CA1594" s="4"/>
      <c r="CB1594" s="4"/>
      <c r="CC1594" s="4"/>
      <c r="CD1594" s="4"/>
      <c r="CE1594" s="4"/>
      <c r="CF1594" s="4"/>
      <c r="CG1594" s="4"/>
      <c r="CH1594" s="4"/>
      <c r="CI1594" s="4"/>
      <c r="CJ1594" s="4"/>
      <c r="CK1594" s="4"/>
      <c r="CL1594" s="4"/>
      <c r="CM1594" s="4"/>
      <c r="CN1594" s="4"/>
      <c r="CO1594" s="4"/>
      <c r="CP1594" s="4"/>
      <c r="CQ1594" s="4"/>
      <c r="CR1594" s="4"/>
      <c r="CS1594" s="4"/>
      <c r="CT1594" s="4"/>
      <c r="CU1594" s="4"/>
      <c r="CV1594" s="4"/>
      <c r="CW1594" s="4"/>
      <c r="CX1594" s="4"/>
      <c r="CY1594" s="4"/>
      <c r="CZ1594" s="4"/>
      <c r="DA1594" s="4"/>
      <c r="DB1594" s="4"/>
      <c r="DC1594" s="4"/>
      <c r="DD1594" s="4"/>
      <c r="DE1594" s="4"/>
      <c r="DF1594" s="4"/>
      <c r="DG1594" s="4"/>
      <c r="DH1594" s="4"/>
      <c r="DI1594" s="3"/>
      <c r="DJ1594" s="3"/>
      <c r="DK1594" s="3"/>
      <c r="DL1594" s="4"/>
      <c r="DM1594" s="4"/>
      <c r="DN1594" s="4"/>
      <c r="DO1594" s="4"/>
      <c r="DP1594" s="3"/>
      <c r="DQ1594" s="3"/>
      <c r="DR1594" s="3"/>
      <c r="DS1594" s="3"/>
      <c r="DT1594" s="4"/>
      <c r="DU1594" s="4"/>
      <c r="DV1594" s="4"/>
      <c r="DW1594" s="4"/>
      <c r="DX1594" s="8"/>
      <c r="DY1594" s="4"/>
      <c r="DZ1594" s="4"/>
      <c r="EA1594" s="4"/>
      <c r="EB1594" s="4"/>
      <c r="EC1594" s="4"/>
      <c r="ED1594" s="4"/>
      <c r="EE1594" s="4"/>
      <c r="EF1594" s="4"/>
      <c r="EG1594" s="4"/>
      <c r="EH1594" s="4"/>
      <c r="EI1594" s="4"/>
      <c r="EJ1594" s="4"/>
      <c r="EK1594" s="4"/>
      <c r="EL1594" s="4"/>
      <c r="EM1594" s="4"/>
      <c r="EN1594" s="3"/>
      <c r="EO1594" s="3"/>
      <c r="EP1594" s="3"/>
      <c r="EQ1594" s="3"/>
      <c r="ER1594" s="3"/>
      <c r="ES1594" s="3"/>
      <c r="ET1594" s="4"/>
      <c r="EU1594" s="4"/>
      <c r="EV1594" s="3"/>
    </row>
    <row r="1595" spans="1:152" hidden="1">
      <c r="A1595" s="11" t="s">
        <v>9940</v>
      </c>
      <c r="B1595" s="3" t="s">
        <v>8373</v>
      </c>
      <c r="C1595" s="3">
        <v>2005</v>
      </c>
      <c r="D1595" s="3" t="s">
        <v>9158</v>
      </c>
      <c r="E1595" s="3" t="s">
        <v>9159</v>
      </c>
      <c r="F1595" s="3">
        <v>1</v>
      </c>
      <c r="G1595" s="3"/>
      <c r="H1595" s="3" t="s">
        <v>9162</v>
      </c>
      <c r="I1595" s="3"/>
      <c r="J1595" s="3"/>
      <c r="K1595" s="3" t="s">
        <v>1180</v>
      </c>
      <c r="L1595" s="4"/>
      <c r="M1595" s="3" t="s">
        <v>8753</v>
      </c>
      <c r="T1595" s="3" t="s">
        <v>9160</v>
      </c>
      <c r="V1595" s="3"/>
      <c r="W1595" s="4"/>
      <c r="X1595" s="5" t="s">
        <v>9161</v>
      </c>
      <c r="Y1595" s="5"/>
      <c r="Z1595" s="3">
        <v>1</v>
      </c>
      <c r="AA1595" s="4"/>
      <c r="AB1595" s="4"/>
      <c r="AE1595" s="3"/>
      <c r="AF1595" s="3"/>
      <c r="AG1595" s="4"/>
      <c r="AH1595" s="4"/>
      <c r="AI1595" s="4"/>
      <c r="AJ1595" s="4"/>
      <c r="AK1595" s="3"/>
      <c r="AL1595" s="3"/>
      <c r="AM1595" s="3"/>
      <c r="AN1595" s="3"/>
      <c r="AO1595" s="4"/>
      <c r="AP1595" s="3"/>
      <c r="AQ1595" s="4"/>
      <c r="AR1595" s="10"/>
      <c r="AS1595" s="3"/>
      <c r="AT1595" s="4"/>
      <c r="AU1595" s="3"/>
      <c r="AV1595" s="4"/>
      <c r="AW1595" s="4"/>
      <c r="AX1595" s="4"/>
      <c r="AY1595" s="4"/>
      <c r="AZ1595" s="4"/>
      <c r="BA1595" s="4"/>
      <c r="BB1595" s="4"/>
      <c r="BC1595" s="4"/>
      <c r="BD1595" s="4"/>
      <c r="BE1595" s="4"/>
      <c r="BF1595" s="3"/>
      <c r="BG1595" s="3"/>
      <c r="BH1595" s="3"/>
      <c r="BI1595" s="4"/>
      <c r="BJ1595" s="3"/>
      <c r="BK1595" s="4"/>
      <c r="BL1595" s="4"/>
      <c r="BM1595" s="3"/>
      <c r="BN1595" s="4"/>
      <c r="BO1595" s="4"/>
      <c r="BP1595" s="4"/>
      <c r="BQ1595" s="4"/>
      <c r="BR1595" s="4"/>
      <c r="BS1595" s="4"/>
      <c r="BT1595" s="4"/>
      <c r="BU1595" s="4"/>
      <c r="BV1595" s="4"/>
      <c r="BW1595" s="4"/>
      <c r="BX1595" s="4"/>
      <c r="BY1595" s="4"/>
      <c r="BZ1595" s="4"/>
      <c r="CA1595" s="4"/>
      <c r="CB1595" s="4"/>
      <c r="CC1595" s="4"/>
      <c r="CD1595" s="4"/>
      <c r="CE1595" s="4"/>
      <c r="CF1595" s="4"/>
      <c r="CG1595" s="4"/>
      <c r="CH1595" s="4"/>
      <c r="CI1595" s="4"/>
      <c r="CJ1595" s="4"/>
      <c r="CK1595" s="4"/>
      <c r="CL1595" s="4"/>
      <c r="CM1595" s="4"/>
      <c r="CN1595" s="4"/>
      <c r="CO1595" s="4"/>
      <c r="CP1595" s="4"/>
      <c r="CQ1595" s="4"/>
      <c r="CR1595" s="4"/>
      <c r="CS1595" s="4"/>
      <c r="CT1595" s="4"/>
      <c r="CU1595" s="4"/>
      <c r="CV1595" s="4"/>
      <c r="CW1595" s="4"/>
      <c r="CX1595" s="4"/>
      <c r="CY1595" s="4"/>
      <c r="CZ1595" s="4"/>
      <c r="DA1595" s="4"/>
      <c r="DB1595" s="4"/>
      <c r="DC1595" s="4"/>
      <c r="DD1595" s="4"/>
      <c r="DE1595" s="4"/>
      <c r="DF1595" s="3"/>
      <c r="DG1595" s="3"/>
      <c r="DH1595" s="8"/>
      <c r="DI1595" s="4"/>
      <c r="DJ1595" s="4"/>
      <c r="DK1595" s="4"/>
      <c r="DL1595" s="4"/>
      <c r="DM1595" s="8"/>
      <c r="DN1595" s="8"/>
      <c r="DO1595" s="8"/>
      <c r="DP1595" s="8"/>
      <c r="DQ1595" s="4"/>
      <c r="DR1595" s="4"/>
      <c r="DS1595" s="4"/>
      <c r="DT1595" s="4"/>
      <c r="DU1595" s="4"/>
      <c r="DV1595" s="4"/>
      <c r="DW1595" s="4"/>
      <c r="DX1595" s="4"/>
      <c r="DY1595" s="4"/>
      <c r="DZ1595" s="4"/>
      <c r="EA1595" s="4"/>
      <c r="EB1595" s="4"/>
      <c r="EC1595" s="4"/>
      <c r="ED1595" s="4"/>
      <c r="EE1595" s="4"/>
      <c r="EF1595" s="4"/>
      <c r="EG1595" s="4"/>
      <c r="EH1595" s="4"/>
      <c r="EI1595" s="4"/>
      <c r="EJ1595" s="4"/>
      <c r="EK1595" s="8"/>
      <c r="EL1595" s="8"/>
      <c r="EM1595" s="8"/>
      <c r="EN1595" s="8"/>
      <c r="EO1595" s="8"/>
      <c r="EP1595" s="8"/>
      <c r="EQ1595" s="4"/>
      <c r="ER1595" s="4"/>
      <c r="ES1595" s="4"/>
    </row>
    <row r="1596" spans="1:152" hidden="1">
      <c r="A1596" s="11" t="s">
        <v>9940</v>
      </c>
      <c r="B1596" s="3" t="s">
        <v>8379</v>
      </c>
      <c r="C1596" s="3">
        <v>2011</v>
      </c>
      <c r="D1596" s="3" t="s">
        <v>4573</v>
      </c>
      <c r="E1596" s="3" t="s">
        <v>9163</v>
      </c>
      <c r="F1596" s="3">
        <v>1</v>
      </c>
      <c r="G1596" s="4"/>
      <c r="H1596" s="3" t="s">
        <v>9164</v>
      </c>
      <c r="I1596" s="3"/>
      <c r="J1596" s="3"/>
      <c r="K1596" s="4"/>
      <c r="L1596" s="4"/>
      <c r="M1596" s="4"/>
      <c r="T1596" s="4"/>
      <c r="V1596" s="3"/>
      <c r="W1596" s="3"/>
      <c r="X1596" s="5" t="s">
        <v>4577</v>
      </c>
      <c r="Y1596" s="5"/>
      <c r="Z1596" s="3">
        <v>1</v>
      </c>
      <c r="AA1596" s="4"/>
      <c r="AB1596" s="3"/>
      <c r="AE1596" s="3"/>
      <c r="AF1596" s="3"/>
      <c r="AG1596" s="3"/>
      <c r="AH1596" s="4"/>
      <c r="AI1596" s="4"/>
      <c r="AJ1596" s="4"/>
      <c r="AK1596" s="3"/>
      <c r="AL1596" s="3"/>
      <c r="AM1596" s="3"/>
      <c r="AN1596" s="3"/>
      <c r="AO1596" s="4"/>
      <c r="AP1596" s="4"/>
      <c r="AQ1596" s="3"/>
      <c r="AR1596" s="4"/>
      <c r="AS1596" s="4"/>
      <c r="AT1596" s="4"/>
      <c r="AU1596" s="4"/>
      <c r="AV1596" s="4"/>
      <c r="AW1596" s="4"/>
      <c r="AX1596" s="4"/>
      <c r="AY1596" s="4"/>
      <c r="AZ1596" s="4"/>
      <c r="BA1596" s="3"/>
      <c r="BB1596" s="4"/>
      <c r="BC1596" s="3"/>
      <c r="BD1596" s="3"/>
      <c r="BE1596" s="3"/>
      <c r="BF1596" s="4"/>
      <c r="BG1596" s="3"/>
      <c r="BH1596" s="3"/>
      <c r="BI1596" s="4"/>
      <c r="BJ1596" s="4"/>
      <c r="BK1596" s="4"/>
      <c r="BL1596" s="4"/>
      <c r="BM1596" s="4"/>
      <c r="BN1596" s="4"/>
      <c r="BO1596" s="4"/>
      <c r="BP1596" s="4"/>
      <c r="BQ1596" s="4"/>
      <c r="BR1596" s="4"/>
      <c r="BS1596" s="4"/>
      <c r="BT1596" s="4"/>
      <c r="BU1596" s="4"/>
      <c r="BV1596" s="4"/>
      <c r="BW1596" s="4"/>
      <c r="BX1596" s="4"/>
      <c r="BY1596" s="4"/>
      <c r="BZ1596" s="4"/>
      <c r="CA1596" s="4"/>
      <c r="CB1596" s="4"/>
      <c r="CC1596" s="4"/>
      <c r="CD1596" s="4"/>
      <c r="CE1596" s="4"/>
      <c r="CF1596" s="4"/>
      <c r="CG1596" s="4"/>
      <c r="CH1596" s="4"/>
      <c r="CI1596" s="4"/>
      <c r="CJ1596" s="4"/>
      <c r="CK1596" s="4"/>
      <c r="CL1596" s="4"/>
      <c r="CM1596" s="4"/>
      <c r="CN1596" s="4"/>
      <c r="CO1596" s="4"/>
      <c r="CP1596" s="4"/>
      <c r="CQ1596" s="4"/>
      <c r="CR1596" s="4"/>
      <c r="CS1596" s="4"/>
      <c r="CT1596" s="4"/>
      <c r="CU1596" s="4"/>
      <c r="CV1596" s="4"/>
      <c r="CW1596" s="3"/>
      <c r="CX1596" s="3"/>
      <c r="CY1596" s="8"/>
      <c r="CZ1596" s="4"/>
      <c r="DA1596" s="4"/>
      <c r="DB1596" s="4"/>
      <c r="DC1596" s="4"/>
      <c r="DD1596" s="8"/>
      <c r="DE1596" s="8"/>
      <c r="DF1596" s="8"/>
      <c r="DG1596" s="8"/>
      <c r="DH1596" s="4"/>
      <c r="DI1596" s="4"/>
      <c r="DJ1596" s="4"/>
      <c r="DK1596" s="4"/>
      <c r="DL1596" s="4"/>
      <c r="DM1596" s="4"/>
      <c r="DN1596" s="4"/>
      <c r="DO1596" s="4"/>
      <c r="DP1596" s="4"/>
      <c r="DQ1596" s="4"/>
      <c r="DR1596" s="4"/>
      <c r="DS1596" s="4"/>
      <c r="DT1596" s="4"/>
      <c r="DU1596" s="4"/>
      <c r="DV1596" s="4"/>
      <c r="DW1596" s="4"/>
      <c r="DX1596" s="4"/>
      <c r="DY1596" s="4"/>
      <c r="DZ1596" s="4"/>
      <c r="EA1596" s="4"/>
      <c r="EB1596" s="8"/>
      <c r="EC1596" s="8"/>
      <c r="ED1596" s="8"/>
      <c r="EE1596" s="8"/>
      <c r="EF1596" s="8"/>
      <c r="EG1596" s="8"/>
      <c r="EH1596" s="4"/>
      <c r="EI1596" s="4"/>
      <c r="EJ1596" s="4"/>
    </row>
    <row r="1597" spans="1:152" hidden="1">
      <c r="A1597" s="11" t="s">
        <v>9940</v>
      </c>
      <c r="B1597" s="3" t="s">
        <v>8373</v>
      </c>
      <c r="C1597" s="3">
        <v>2011</v>
      </c>
      <c r="D1597" s="3" t="s">
        <v>9165</v>
      </c>
      <c r="E1597" s="3" t="s">
        <v>9166</v>
      </c>
      <c r="F1597" s="3">
        <v>1</v>
      </c>
      <c r="G1597" s="3"/>
      <c r="H1597" s="3" t="s">
        <v>9169</v>
      </c>
      <c r="I1597" s="3"/>
      <c r="J1597" s="3"/>
      <c r="K1597" s="3" t="s">
        <v>40</v>
      </c>
      <c r="L1597" s="4"/>
      <c r="M1597" s="3" t="s">
        <v>8500</v>
      </c>
      <c r="T1597" s="3" t="s">
        <v>9167</v>
      </c>
      <c r="V1597" s="3"/>
      <c r="W1597" s="4"/>
      <c r="X1597" s="5" t="s">
        <v>9168</v>
      </c>
      <c r="Y1597" s="5"/>
      <c r="Z1597" s="3">
        <v>1</v>
      </c>
      <c r="AA1597" s="4"/>
      <c r="AB1597" s="4"/>
      <c r="AE1597" s="3"/>
      <c r="AF1597" s="3"/>
      <c r="AG1597" s="4"/>
      <c r="AH1597" s="4"/>
      <c r="AI1597" s="4"/>
      <c r="AJ1597" s="4"/>
      <c r="AK1597" s="3"/>
      <c r="AL1597" s="3"/>
      <c r="AM1597" s="3"/>
      <c r="AN1597" s="3"/>
      <c r="AO1597" s="4"/>
      <c r="AP1597" s="3"/>
      <c r="AQ1597" s="3"/>
      <c r="AR1597" s="3"/>
      <c r="AS1597" s="4"/>
      <c r="AT1597" s="3"/>
      <c r="AU1597" s="4"/>
      <c r="AV1597" s="4"/>
      <c r="AW1597" s="4"/>
      <c r="AX1597" s="4"/>
      <c r="AY1597" s="4"/>
      <c r="AZ1597" s="4"/>
      <c r="BA1597" s="4"/>
      <c r="BB1597" s="4"/>
      <c r="BC1597" s="4"/>
      <c r="BD1597" s="4"/>
      <c r="BE1597" s="3"/>
      <c r="BF1597" s="3"/>
      <c r="BG1597" s="3"/>
      <c r="BH1597" s="4"/>
      <c r="BI1597" s="3"/>
      <c r="BJ1597" s="4"/>
      <c r="BK1597" s="4"/>
      <c r="BL1597" s="4"/>
      <c r="BM1597" s="3"/>
      <c r="BN1597" s="4"/>
      <c r="BO1597" s="4"/>
      <c r="BP1597" s="4"/>
      <c r="BQ1597" s="4"/>
      <c r="BR1597" s="4"/>
      <c r="BS1597" s="4"/>
      <c r="BT1597" s="4"/>
      <c r="BU1597" s="4"/>
      <c r="BV1597" s="4"/>
      <c r="BW1597" s="4"/>
      <c r="BX1597" s="4"/>
      <c r="BY1597" s="4"/>
      <c r="BZ1597" s="4"/>
      <c r="CA1597" s="4"/>
      <c r="CB1597" s="4"/>
      <c r="CC1597" s="4"/>
      <c r="CD1597" s="4"/>
      <c r="CE1597" s="4"/>
      <c r="CF1597" s="4"/>
      <c r="CG1597" s="4"/>
      <c r="CH1597" s="4"/>
      <c r="CI1597" s="4"/>
      <c r="CJ1597" s="4"/>
      <c r="CK1597" s="4"/>
      <c r="CL1597" s="4"/>
      <c r="CM1597" s="4"/>
      <c r="CN1597" s="4"/>
      <c r="CO1597" s="3"/>
      <c r="CP1597" s="3"/>
      <c r="CQ1597" s="8"/>
      <c r="CR1597" s="4"/>
      <c r="CS1597" s="4"/>
      <c r="CT1597" s="4"/>
      <c r="CU1597" s="4"/>
      <c r="CV1597" s="8"/>
      <c r="CW1597" s="8"/>
      <c r="CX1597" s="8"/>
      <c r="CY1597" s="8"/>
      <c r="CZ1597" s="4"/>
      <c r="DA1597" s="4"/>
      <c r="DB1597" s="4"/>
      <c r="DC1597" s="4"/>
      <c r="DD1597" s="4"/>
      <c r="DE1597" s="4"/>
      <c r="DF1597" s="4"/>
      <c r="DG1597" s="4"/>
      <c r="DH1597" s="4"/>
      <c r="DI1597" s="4"/>
      <c r="DJ1597" s="4"/>
      <c r="DK1597" s="4"/>
      <c r="DL1597" s="4"/>
      <c r="DM1597" s="4"/>
      <c r="DN1597" s="4"/>
      <c r="DO1597" s="4"/>
      <c r="DP1597" s="4"/>
      <c r="DQ1597" s="4"/>
      <c r="DR1597" s="4"/>
      <c r="DS1597" s="4"/>
      <c r="DT1597" s="8"/>
      <c r="DU1597" s="8"/>
      <c r="DV1597" s="8"/>
      <c r="DW1597" s="8"/>
      <c r="DX1597" s="8"/>
      <c r="DY1597" s="8"/>
      <c r="DZ1597" s="4"/>
      <c r="EA1597" s="4"/>
      <c r="EB1597" s="4"/>
    </row>
    <row r="1598" spans="1:152" hidden="1">
      <c r="A1598" s="11" t="s">
        <v>9940</v>
      </c>
      <c r="B1598" s="3" t="s">
        <v>8373</v>
      </c>
      <c r="C1598" s="3">
        <v>2005</v>
      </c>
      <c r="D1598" s="3" t="s">
        <v>9170</v>
      </c>
      <c r="E1598" s="3" t="s">
        <v>9171</v>
      </c>
      <c r="F1598" s="3">
        <v>1</v>
      </c>
      <c r="G1598" s="3"/>
      <c r="H1598" s="3" t="s">
        <v>9175</v>
      </c>
      <c r="I1598" s="3"/>
      <c r="J1598" s="3"/>
      <c r="K1598" s="3" t="s">
        <v>576</v>
      </c>
      <c r="L1598" s="4"/>
      <c r="M1598" s="3" t="s">
        <v>9172</v>
      </c>
      <c r="T1598" s="3" t="s">
        <v>9173</v>
      </c>
      <c r="V1598" s="3"/>
      <c r="W1598" s="3"/>
      <c r="X1598" s="5" t="s">
        <v>9174</v>
      </c>
      <c r="Y1598" s="5"/>
      <c r="Z1598" s="3">
        <v>1</v>
      </c>
      <c r="AA1598" s="4"/>
      <c r="AB1598" s="3"/>
      <c r="AE1598" s="3"/>
      <c r="AF1598" s="3"/>
      <c r="AG1598" s="4"/>
      <c r="AH1598" s="4"/>
      <c r="AI1598" s="4"/>
      <c r="AJ1598" s="4"/>
      <c r="AK1598" s="3"/>
      <c r="AL1598" s="3"/>
      <c r="AM1598" s="3"/>
      <c r="AN1598" s="3"/>
      <c r="AO1598" s="4"/>
      <c r="AP1598" s="3"/>
      <c r="AQ1598" s="4"/>
      <c r="AR1598" s="10"/>
      <c r="AS1598" s="3"/>
      <c r="AT1598" s="4"/>
      <c r="AU1598" s="3"/>
      <c r="AV1598" s="4"/>
      <c r="AW1598" s="4"/>
      <c r="AX1598" s="4"/>
      <c r="AY1598" s="4"/>
      <c r="AZ1598" s="4"/>
      <c r="BA1598" s="4"/>
      <c r="BB1598" s="4"/>
      <c r="BC1598" s="4"/>
      <c r="BD1598" s="4"/>
      <c r="BE1598" s="4"/>
      <c r="BF1598" s="3"/>
      <c r="BG1598" s="3"/>
      <c r="BH1598" s="3"/>
      <c r="BI1598" s="4"/>
      <c r="BJ1598" s="3"/>
      <c r="BK1598" s="4"/>
      <c r="BL1598" s="4"/>
      <c r="BM1598" s="3"/>
      <c r="BN1598" s="4"/>
      <c r="BO1598" s="4"/>
      <c r="BP1598" s="4"/>
      <c r="BQ1598" s="4"/>
      <c r="BR1598" s="4"/>
      <c r="BS1598" s="4"/>
      <c r="BT1598" s="4"/>
      <c r="BU1598" s="4"/>
      <c r="BV1598" s="4"/>
      <c r="BW1598" s="4"/>
      <c r="BX1598" s="4"/>
      <c r="BY1598" s="4"/>
      <c r="BZ1598" s="4"/>
      <c r="CA1598" s="4"/>
      <c r="CB1598" s="4"/>
      <c r="CC1598" s="4"/>
      <c r="CD1598" s="4"/>
      <c r="CE1598" s="4"/>
      <c r="CF1598" s="4"/>
      <c r="CG1598" s="4"/>
      <c r="CH1598" s="4"/>
      <c r="CI1598" s="4"/>
      <c r="CJ1598" s="4"/>
      <c r="CK1598" s="4"/>
      <c r="CL1598" s="4"/>
      <c r="CM1598" s="4"/>
      <c r="CN1598" s="4"/>
      <c r="CO1598" s="4"/>
      <c r="CP1598" s="4"/>
      <c r="CQ1598" s="4"/>
      <c r="CR1598" s="4"/>
      <c r="CS1598" s="4"/>
      <c r="CT1598" s="4"/>
      <c r="CU1598" s="4"/>
      <c r="CV1598" s="4"/>
      <c r="CW1598" s="4"/>
      <c r="CX1598" s="4"/>
      <c r="CY1598" s="4"/>
      <c r="CZ1598" s="4"/>
      <c r="DA1598" s="4"/>
      <c r="DB1598" s="4"/>
      <c r="DC1598" s="4"/>
      <c r="DD1598" s="3"/>
      <c r="DE1598" s="3"/>
      <c r="DF1598" s="8"/>
      <c r="DG1598" s="4"/>
      <c r="DH1598" s="4"/>
      <c r="DI1598" s="4"/>
      <c r="DJ1598" s="4"/>
      <c r="DK1598" s="8"/>
      <c r="DL1598" s="8"/>
      <c r="DM1598" s="8"/>
      <c r="DN1598" s="8"/>
      <c r="DO1598" s="4"/>
      <c r="DP1598" s="4"/>
      <c r="DQ1598" s="4"/>
      <c r="DR1598" s="4"/>
      <c r="DS1598" s="4"/>
      <c r="DT1598" s="4"/>
      <c r="DU1598" s="4"/>
      <c r="DV1598" s="4"/>
      <c r="DW1598" s="4"/>
      <c r="DX1598" s="4"/>
      <c r="DY1598" s="4"/>
      <c r="DZ1598" s="4"/>
      <c r="EA1598" s="4"/>
      <c r="EB1598" s="4"/>
      <c r="EC1598" s="4"/>
      <c r="ED1598" s="4"/>
      <c r="EE1598" s="4"/>
      <c r="EF1598" s="4"/>
      <c r="EG1598" s="4"/>
      <c r="EH1598" s="4"/>
      <c r="EI1598" s="8"/>
      <c r="EJ1598" s="8"/>
      <c r="EK1598" s="8"/>
      <c r="EL1598" s="8"/>
      <c r="EM1598" s="8"/>
      <c r="EN1598" s="8"/>
      <c r="EO1598" s="4"/>
      <c r="EP1598" s="4"/>
      <c r="EQ1598" s="4"/>
    </row>
    <row r="1599" spans="1:152" hidden="1">
      <c r="A1599" s="11" t="s">
        <v>9940</v>
      </c>
      <c r="B1599" s="3" t="s">
        <v>8386</v>
      </c>
      <c r="C1599" s="3">
        <v>1998</v>
      </c>
      <c r="D1599" s="3" t="s">
        <v>9176</v>
      </c>
      <c r="E1599" s="3" t="s">
        <v>9177</v>
      </c>
      <c r="F1599" s="3">
        <v>1</v>
      </c>
      <c r="G1599" s="3" t="s">
        <v>9178</v>
      </c>
      <c r="H1599" s="3" t="s">
        <v>9182</v>
      </c>
      <c r="I1599" s="3"/>
      <c r="J1599" s="3"/>
      <c r="K1599" s="3" t="s">
        <v>9179</v>
      </c>
      <c r="L1599" s="3" t="s">
        <v>9180</v>
      </c>
      <c r="M1599" s="4"/>
      <c r="T1599" s="4"/>
      <c r="V1599" s="3"/>
      <c r="W1599" s="3"/>
      <c r="X1599" s="5" t="s">
        <v>9181</v>
      </c>
      <c r="Y1599" s="5"/>
      <c r="Z1599" s="3">
        <v>1</v>
      </c>
      <c r="AA1599" s="4"/>
      <c r="AB1599" s="4"/>
      <c r="AE1599" s="3"/>
      <c r="AF1599" s="3"/>
      <c r="AG1599" s="4"/>
      <c r="AH1599" s="3"/>
      <c r="AI1599" s="4"/>
      <c r="AJ1599" s="4"/>
      <c r="AK1599" s="3"/>
      <c r="AL1599" s="3"/>
      <c r="AM1599" s="3"/>
      <c r="AN1599" s="3"/>
      <c r="AO1599" s="4"/>
      <c r="AP1599" s="3"/>
      <c r="AQ1599" s="4"/>
      <c r="AR1599" s="4"/>
      <c r="AS1599" s="4"/>
      <c r="AT1599" s="4"/>
      <c r="AU1599" s="4"/>
      <c r="AV1599" s="4"/>
      <c r="AW1599" s="3"/>
      <c r="AX1599" s="4"/>
      <c r="AY1599" s="3"/>
      <c r="AZ1599" s="3"/>
      <c r="BA1599" s="4"/>
      <c r="BB1599" s="3"/>
      <c r="BC1599" s="3"/>
      <c r="BD1599" s="3"/>
      <c r="BE1599" s="4"/>
      <c r="BF1599" s="4"/>
      <c r="BG1599" s="4"/>
      <c r="BH1599" s="4"/>
      <c r="BI1599" s="4"/>
      <c r="BJ1599" s="3"/>
      <c r="BK1599" s="3"/>
      <c r="BL1599" s="4"/>
      <c r="BM1599" s="4"/>
      <c r="BN1599" s="4"/>
      <c r="BO1599" s="4"/>
      <c r="BP1599" s="4"/>
      <c r="BQ1599" s="4"/>
      <c r="BR1599" s="4"/>
      <c r="BS1599" s="4"/>
      <c r="BT1599" s="4"/>
      <c r="BU1599" s="4"/>
      <c r="BV1599" s="4"/>
      <c r="BW1599" s="4"/>
      <c r="BX1599" s="4"/>
      <c r="BY1599" s="4"/>
      <c r="BZ1599" s="4"/>
      <c r="CA1599" s="4"/>
      <c r="CB1599" s="4"/>
      <c r="CC1599" s="4"/>
      <c r="CD1599" s="4"/>
      <c r="CE1599" s="4"/>
      <c r="CF1599" s="4"/>
      <c r="CG1599" s="4"/>
      <c r="CH1599" s="4"/>
      <c r="CI1599" s="4"/>
      <c r="CJ1599" s="4"/>
      <c r="CK1599" s="4"/>
      <c r="CL1599" s="4"/>
      <c r="CM1599" s="4"/>
      <c r="CN1599" s="4"/>
      <c r="CO1599" s="4"/>
      <c r="CP1599" s="4"/>
      <c r="CQ1599" s="4"/>
      <c r="CR1599" s="4"/>
      <c r="CS1599" s="4"/>
      <c r="CT1599" s="4"/>
      <c r="CU1599" s="4"/>
      <c r="CV1599" s="4"/>
      <c r="CW1599" s="4"/>
      <c r="CX1599" s="4"/>
      <c r="CY1599" s="4"/>
      <c r="CZ1599" s="4"/>
      <c r="DA1599" s="3"/>
      <c r="DB1599" s="3"/>
      <c r="DC1599" s="3"/>
      <c r="DD1599" s="4"/>
      <c r="DE1599" s="4"/>
      <c r="DF1599" s="4"/>
      <c r="DG1599" s="4"/>
      <c r="DH1599" s="3"/>
      <c r="DI1599" s="3"/>
      <c r="DJ1599" s="3"/>
      <c r="DK1599" s="3"/>
      <c r="DL1599" s="4"/>
      <c r="DM1599" s="4"/>
      <c r="DN1599" s="4"/>
      <c r="DO1599" s="4"/>
      <c r="DP1599" s="8"/>
      <c r="DQ1599" s="4"/>
      <c r="DR1599" s="4"/>
      <c r="DS1599" s="4"/>
      <c r="DT1599" s="4"/>
      <c r="DU1599" s="4"/>
      <c r="DV1599" s="4"/>
      <c r="DW1599" s="4"/>
      <c r="DX1599" s="4"/>
      <c r="DY1599" s="4"/>
      <c r="DZ1599" s="4"/>
      <c r="EA1599" s="4"/>
      <c r="EB1599" s="4"/>
      <c r="EC1599" s="4"/>
      <c r="ED1599" s="4"/>
      <c r="EE1599" s="4"/>
      <c r="EF1599" s="3"/>
      <c r="EG1599" s="3"/>
      <c r="EH1599" s="3"/>
      <c r="EI1599" s="3"/>
      <c r="EJ1599" s="3"/>
      <c r="EK1599" s="3"/>
      <c r="EL1599" s="4"/>
      <c r="EM1599" s="4"/>
      <c r="EN1599" s="3"/>
    </row>
    <row r="1600" spans="1:152" hidden="1">
      <c r="A1600" s="11" t="s">
        <v>9940</v>
      </c>
      <c r="B1600" s="3" t="s">
        <v>8373</v>
      </c>
      <c r="C1600" s="3">
        <v>2006</v>
      </c>
      <c r="D1600" s="3" t="s">
        <v>9895</v>
      </c>
      <c r="E1600" s="3" t="s">
        <v>9896</v>
      </c>
      <c r="F1600" s="3">
        <v>0</v>
      </c>
      <c r="G1600" s="3"/>
      <c r="H1600" s="3" t="s">
        <v>2184</v>
      </c>
      <c r="I1600" s="3"/>
      <c r="J1600" s="3"/>
      <c r="K1600" s="3" t="s">
        <v>2180</v>
      </c>
      <c r="L1600" s="3" t="s">
        <v>9897</v>
      </c>
      <c r="O1600" s="2"/>
      <c r="T1600" s="3" t="s">
        <v>2182</v>
      </c>
      <c r="W1600" s="4"/>
      <c r="X1600" s="5" t="s">
        <v>2185</v>
      </c>
      <c r="Y1600" s="5"/>
      <c r="Z1600" s="4"/>
      <c r="AA1600" s="4"/>
      <c r="AB1600" s="4"/>
      <c r="AE1600" s="4"/>
      <c r="AF1600" s="3"/>
      <c r="AG1600" s="3"/>
      <c r="AH1600" s="3"/>
      <c r="AI1600" s="3"/>
      <c r="AJ1600" s="4"/>
      <c r="AK1600" s="3"/>
      <c r="AL1600" s="4"/>
      <c r="AM1600" s="3"/>
      <c r="AN1600" s="3"/>
      <c r="AO1600" s="4"/>
      <c r="AP1600" s="3"/>
      <c r="AQ1600" s="4"/>
      <c r="AR1600" s="4"/>
      <c r="AS1600" s="4"/>
      <c r="AT1600" s="4"/>
      <c r="AU1600" s="4"/>
      <c r="AV1600" s="4"/>
      <c r="AW1600" s="3"/>
      <c r="AX1600" s="3"/>
      <c r="AY1600" s="3"/>
      <c r="AZ1600" s="4"/>
      <c r="BA1600" s="3"/>
      <c r="BB1600" s="4"/>
      <c r="BC1600" s="4"/>
      <c r="BD1600" s="4"/>
      <c r="BE1600" s="3"/>
      <c r="BF1600" s="4"/>
      <c r="BG1600" s="4"/>
      <c r="BH1600" s="4"/>
      <c r="BI1600" s="4"/>
      <c r="BJ1600" s="4"/>
      <c r="BK1600" s="4"/>
      <c r="BL1600" s="4"/>
      <c r="BM1600" s="4"/>
      <c r="BN1600" s="4"/>
      <c r="BO1600" s="4"/>
      <c r="BP1600" s="4"/>
      <c r="BQ1600" s="4"/>
      <c r="BR1600" s="4"/>
      <c r="BS1600" s="4"/>
      <c r="BT1600" s="4"/>
      <c r="BU1600" s="4"/>
      <c r="BV1600" s="4"/>
      <c r="BW1600" s="4"/>
      <c r="BX1600" s="4"/>
      <c r="BY1600" s="4"/>
      <c r="BZ1600" s="4"/>
      <c r="CA1600" s="4"/>
      <c r="CB1600" s="4"/>
      <c r="CC1600" s="4"/>
      <c r="CD1600" s="4"/>
      <c r="CE1600" s="4"/>
      <c r="CF1600" s="4"/>
      <c r="CG1600" s="4"/>
      <c r="CH1600" s="4"/>
      <c r="CI1600" s="4"/>
      <c r="CJ1600" s="4"/>
      <c r="CK1600" s="4"/>
      <c r="CL1600" s="4"/>
      <c r="CM1600" s="3"/>
      <c r="CN1600" s="3"/>
      <c r="CO1600" s="4"/>
      <c r="CP1600" s="4"/>
      <c r="CQ1600" s="4"/>
      <c r="CR1600" s="4"/>
      <c r="CS1600" s="4"/>
      <c r="CT1600" s="4"/>
      <c r="CU1600" s="4"/>
      <c r="CV1600" s="4"/>
      <c r="CW1600" s="4"/>
      <c r="CX1600" s="4"/>
      <c r="CY1600" s="4"/>
      <c r="CZ1600" s="4"/>
      <c r="DA1600" s="4"/>
      <c r="DB1600" s="4"/>
      <c r="DC1600" s="4"/>
      <c r="DD1600" s="4"/>
      <c r="DE1600" s="4"/>
      <c r="DF1600" s="4"/>
      <c r="DG1600" s="4"/>
      <c r="DH1600" s="4"/>
      <c r="DI1600" s="4"/>
      <c r="DJ1600" s="4"/>
      <c r="DK1600" s="4"/>
      <c r="DL1600" s="4"/>
      <c r="DM1600" s="4"/>
      <c r="DN1600" s="4"/>
      <c r="DO1600" s="4"/>
      <c r="DP1600" s="4"/>
      <c r="DQ1600" s="4"/>
      <c r="DR1600" s="4"/>
      <c r="DS1600" s="4"/>
      <c r="DT1600" s="4"/>
      <c r="DU1600" s="4"/>
      <c r="DV1600" s="4"/>
      <c r="DW1600" s="4"/>
      <c r="DX1600" s="4"/>
      <c r="DY1600" s="4"/>
      <c r="DZ1600" s="4"/>
    </row>
    <row r="1601" spans="1:147" hidden="1">
      <c r="A1601" s="11" t="s">
        <v>9940</v>
      </c>
      <c r="B1601" s="3" t="s">
        <v>8386</v>
      </c>
      <c r="C1601" s="3">
        <v>2005</v>
      </c>
      <c r="D1601" s="3" t="s">
        <v>9898</v>
      </c>
      <c r="E1601" s="3" t="s">
        <v>9899</v>
      </c>
      <c r="F1601" s="3">
        <v>1</v>
      </c>
      <c r="G1601" s="3"/>
      <c r="H1601" s="3" t="s">
        <v>9903</v>
      </c>
      <c r="I1601" s="3"/>
      <c r="J1601" s="3"/>
      <c r="K1601" s="3" t="s">
        <v>9900</v>
      </c>
      <c r="L1601" s="3" t="s">
        <v>9901</v>
      </c>
      <c r="M1601" s="4"/>
      <c r="T1601" s="4"/>
      <c r="V1601" s="3"/>
      <c r="W1601" s="3"/>
      <c r="X1601" s="5" t="s">
        <v>9902</v>
      </c>
      <c r="Y1601" s="5"/>
      <c r="Z1601" s="3">
        <v>0</v>
      </c>
      <c r="AA1601" s="3" t="s">
        <v>9237</v>
      </c>
      <c r="AB1601" s="4"/>
      <c r="AE1601" s="3"/>
      <c r="AF1601" s="4"/>
      <c r="AG1601" s="4"/>
      <c r="AH1601" s="4"/>
      <c r="AI1601" s="4"/>
      <c r="AJ1601" s="4"/>
      <c r="AK1601" s="3"/>
      <c r="AL1601" s="3"/>
      <c r="AM1601" s="3"/>
      <c r="AN1601" s="3"/>
      <c r="AO1601" s="4"/>
      <c r="AP1601" s="3"/>
      <c r="AQ1601" s="4"/>
      <c r="AR1601" s="4"/>
      <c r="AS1601" s="4"/>
      <c r="AT1601" s="4"/>
      <c r="AU1601" s="4"/>
      <c r="AV1601" s="4"/>
      <c r="AW1601" s="3"/>
      <c r="AX1601" s="3"/>
      <c r="AY1601" s="3"/>
      <c r="AZ1601" s="4"/>
      <c r="BA1601" s="4"/>
      <c r="BB1601" s="3"/>
      <c r="BC1601" s="3"/>
      <c r="BD1601" s="3"/>
      <c r="BE1601" s="4"/>
      <c r="BF1601" s="4"/>
      <c r="BG1601" s="4"/>
      <c r="BH1601" s="4"/>
      <c r="BI1601" s="4"/>
      <c r="BJ1601" s="3"/>
      <c r="BK1601" s="3"/>
      <c r="BL1601" s="4"/>
      <c r="BM1601" s="4"/>
      <c r="BN1601" s="4"/>
      <c r="BO1601" s="4"/>
      <c r="BP1601" s="4"/>
      <c r="BQ1601" s="4"/>
      <c r="BR1601" s="4"/>
      <c r="BS1601" s="4"/>
      <c r="BT1601" s="4"/>
      <c r="BU1601" s="4"/>
      <c r="BV1601" s="4"/>
      <c r="BW1601" s="4"/>
      <c r="BX1601" s="4"/>
      <c r="BY1601" s="4"/>
      <c r="BZ1601" s="4"/>
      <c r="CA1601" s="4"/>
      <c r="CB1601" s="4"/>
      <c r="CC1601" s="4"/>
      <c r="CD1601" s="4"/>
      <c r="CE1601" s="4"/>
      <c r="CF1601" s="4"/>
      <c r="CG1601" s="4"/>
      <c r="CH1601" s="4"/>
      <c r="CI1601" s="4"/>
      <c r="CJ1601" s="4"/>
      <c r="CK1601" s="4"/>
      <c r="CL1601" s="4"/>
      <c r="CM1601" s="4"/>
      <c r="CN1601" s="4"/>
      <c r="CO1601" s="4"/>
      <c r="CP1601" s="4"/>
      <c r="CQ1601" s="4"/>
      <c r="CR1601" s="4"/>
      <c r="CS1601" s="4"/>
      <c r="CT1601" s="4"/>
      <c r="CU1601" s="4"/>
      <c r="CV1601" s="4"/>
      <c r="CW1601" s="4"/>
      <c r="CX1601" s="4"/>
      <c r="CY1601" s="4"/>
      <c r="CZ1601" s="4"/>
      <c r="DA1601" s="4"/>
      <c r="DB1601" s="4"/>
      <c r="DC1601" s="4"/>
      <c r="DD1601" s="3"/>
      <c r="DE1601" s="3"/>
      <c r="DF1601" s="4"/>
      <c r="DG1601" s="4"/>
      <c r="DH1601" s="4"/>
      <c r="DI1601" s="4"/>
      <c r="DJ1601" s="4"/>
      <c r="DK1601" s="4"/>
      <c r="DL1601" s="4"/>
      <c r="DM1601" s="4"/>
      <c r="DN1601" s="4"/>
      <c r="DO1601" s="4"/>
      <c r="DP1601" s="4"/>
      <c r="DQ1601" s="4"/>
      <c r="DR1601" s="4"/>
      <c r="DS1601" s="4"/>
      <c r="DT1601" s="4"/>
      <c r="DU1601" s="4"/>
      <c r="DV1601" s="4"/>
      <c r="DW1601" s="4"/>
      <c r="DX1601" s="4"/>
      <c r="DY1601" s="4"/>
      <c r="DZ1601" s="4"/>
      <c r="EA1601" s="4"/>
      <c r="EB1601" s="4"/>
      <c r="EC1601" s="4"/>
      <c r="ED1601" s="4"/>
      <c r="EE1601" s="4"/>
      <c r="EF1601" s="4"/>
      <c r="EG1601" s="4"/>
      <c r="EH1601" s="4"/>
      <c r="EI1601" s="4"/>
      <c r="EJ1601" s="4"/>
      <c r="EK1601" s="4"/>
      <c r="EL1601" s="4"/>
      <c r="EM1601" s="4"/>
      <c r="EN1601" s="4"/>
      <c r="EO1601" s="4"/>
      <c r="EP1601" s="4"/>
      <c r="EQ1601" s="4"/>
    </row>
    <row r="1602" spans="1:147" hidden="1">
      <c r="A1602" s="11" t="s">
        <v>9940</v>
      </c>
      <c r="B1602" s="3" t="s">
        <v>8373</v>
      </c>
      <c r="C1602" s="3">
        <v>2008</v>
      </c>
      <c r="D1602" s="3" t="s">
        <v>1526</v>
      </c>
      <c r="E1602" s="3" t="s">
        <v>9904</v>
      </c>
      <c r="F1602" s="3">
        <v>0</v>
      </c>
      <c r="G1602" s="3" t="s">
        <v>9265</v>
      </c>
      <c r="H1602" s="3" t="s">
        <v>1531</v>
      </c>
      <c r="I1602" s="3"/>
      <c r="J1602" s="3"/>
      <c r="K1602" s="3" t="s">
        <v>1527</v>
      </c>
      <c r="L1602" s="4"/>
      <c r="M1602" s="3" t="s">
        <v>9905</v>
      </c>
      <c r="T1602" s="3" t="s">
        <v>1529</v>
      </c>
      <c r="V1602" s="4"/>
      <c r="W1602" s="4"/>
      <c r="X1602" s="5" t="s">
        <v>1532</v>
      </c>
      <c r="Y1602" s="5"/>
      <c r="Z1602" s="4"/>
      <c r="AA1602" s="4"/>
      <c r="AB1602" s="4"/>
      <c r="AE1602" s="4"/>
      <c r="AF1602" s="4"/>
      <c r="AG1602" s="3"/>
      <c r="AH1602" s="3"/>
      <c r="AI1602" s="3"/>
      <c r="AJ1602" s="3"/>
      <c r="AK1602" s="4"/>
      <c r="AL1602" s="3"/>
      <c r="AM1602" s="4"/>
      <c r="AN1602" s="3"/>
      <c r="AO1602" s="3"/>
      <c r="AP1602" s="4"/>
      <c r="AQ1602" s="3"/>
      <c r="AR1602" s="4"/>
      <c r="AS1602" s="4"/>
      <c r="AT1602" s="4"/>
      <c r="AU1602" s="4"/>
      <c r="AV1602" s="4"/>
      <c r="AW1602" s="4"/>
      <c r="AX1602" s="4"/>
      <c r="AY1602" s="4"/>
      <c r="AZ1602" s="4"/>
      <c r="BA1602" s="4"/>
      <c r="BB1602" s="3"/>
      <c r="BC1602" s="3"/>
      <c r="BD1602" s="3"/>
      <c r="BE1602" s="4"/>
      <c r="BF1602" s="3"/>
      <c r="BG1602" s="4"/>
      <c r="BH1602" s="4"/>
      <c r="BI1602" s="3"/>
      <c r="BJ1602" s="4"/>
      <c r="BK1602" s="4"/>
      <c r="BL1602" s="4"/>
      <c r="BM1602" s="4"/>
      <c r="BN1602" s="4"/>
      <c r="BO1602" s="4"/>
      <c r="BP1602" s="4"/>
      <c r="BQ1602" s="4"/>
      <c r="BR1602" s="4"/>
      <c r="BS1602" s="4"/>
      <c r="BT1602" s="4"/>
      <c r="BU1602" s="4"/>
      <c r="BV1602" s="4"/>
      <c r="BW1602" s="4"/>
      <c r="BX1602" s="4"/>
      <c r="BY1602" s="4"/>
      <c r="BZ1602" s="4"/>
      <c r="CA1602" s="4"/>
      <c r="CB1602" s="4"/>
      <c r="CC1602" s="4"/>
      <c r="CD1602" s="4"/>
      <c r="CE1602" s="4"/>
      <c r="CF1602" s="4"/>
      <c r="CG1602" s="4"/>
      <c r="CH1602" s="4"/>
      <c r="CI1602" s="4"/>
      <c r="CJ1602" s="4"/>
      <c r="CK1602" s="4"/>
      <c r="CL1602" s="4"/>
      <c r="CM1602" s="4"/>
      <c r="CN1602" s="4"/>
      <c r="CO1602" s="4"/>
      <c r="CP1602" s="4"/>
      <c r="CQ1602" s="4"/>
      <c r="CR1602" s="4"/>
      <c r="CS1602" s="4"/>
      <c r="CT1602" s="4"/>
      <c r="CU1602" s="3"/>
      <c r="CV1602" s="3"/>
      <c r="CW1602" s="4"/>
      <c r="CX1602" s="4"/>
      <c r="CY1602" s="4"/>
      <c r="CZ1602" s="4"/>
      <c r="DA1602" s="4"/>
      <c r="DB1602" s="4"/>
      <c r="DC1602" s="4"/>
      <c r="DD1602" s="4"/>
      <c r="DE1602" s="4"/>
      <c r="DF1602" s="4"/>
      <c r="DG1602" s="4"/>
      <c r="DH1602" s="4"/>
      <c r="DI1602" s="4"/>
      <c r="DJ1602" s="4"/>
      <c r="DK1602" s="4"/>
      <c r="DL1602" s="4"/>
      <c r="DM1602" s="4"/>
      <c r="DN1602" s="4"/>
      <c r="DO1602" s="4"/>
      <c r="DP1602" s="4"/>
      <c r="DQ1602" s="4"/>
      <c r="DR1602" s="4"/>
      <c r="DS1602" s="4"/>
      <c r="DT1602" s="4"/>
      <c r="DU1602" s="4"/>
      <c r="DV1602" s="4"/>
      <c r="DW1602" s="4"/>
      <c r="DX1602" s="4"/>
      <c r="DY1602" s="4"/>
      <c r="DZ1602" s="4"/>
      <c r="EA1602" s="4"/>
      <c r="EB1602" s="4"/>
      <c r="EC1602" s="4"/>
      <c r="ED1602" s="4"/>
      <c r="EE1602" s="4"/>
      <c r="EF1602" s="4"/>
      <c r="EG1602" s="4"/>
      <c r="EH1602" s="4"/>
    </row>
    <row r="1603" spans="1:147" hidden="1">
      <c r="A1603" s="11" t="s">
        <v>9940</v>
      </c>
      <c r="B1603" s="3" t="s">
        <v>8379</v>
      </c>
      <c r="C1603" s="3">
        <v>2011</v>
      </c>
      <c r="D1603" s="3" t="s">
        <v>7197</v>
      </c>
      <c r="E1603" s="3" t="s">
        <v>9906</v>
      </c>
      <c r="F1603" s="3">
        <v>0</v>
      </c>
      <c r="G1603" s="3" t="s">
        <v>9178</v>
      </c>
      <c r="H1603" s="3" t="s">
        <v>9907</v>
      </c>
      <c r="I1603" s="3"/>
      <c r="J1603" s="3"/>
      <c r="K1603" s="4"/>
      <c r="L1603" s="4"/>
      <c r="M1603" s="4"/>
      <c r="T1603" s="4"/>
      <c r="V1603" s="4"/>
      <c r="W1603" s="4"/>
      <c r="X1603" s="5" t="s">
        <v>7201</v>
      </c>
      <c r="Y1603" s="5"/>
      <c r="Z1603" s="4"/>
      <c r="AA1603" s="4"/>
      <c r="AB1603" s="4"/>
      <c r="AE1603" s="4"/>
      <c r="AF1603" s="4"/>
      <c r="AG1603" s="3"/>
      <c r="AH1603" s="3"/>
      <c r="AI1603" s="3"/>
      <c r="AJ1603" s="3"/>
      <c r="AK1603" s="4"/>
      <c r="AL1603" s="4"/>
      <c r="AM1603" s="3"/>
      <c r="AN1603" s="4"/>
      <c r="AO1603" s="4"/>
      <c r="AP1603" s="4"/>
      <c r="AQ1603" s="4"/>
      <c r="AR1603" s="4"/>
      <c r="AS1603" s="4"/>
      <c r="AT1603" s="4"/>
      <c r="AU1603" s="4"/>
      <c r="AV1603" s="4"/>
      <c r="AW1603" s="3"/>
      <c r="AX1603" s="4"/>
      <c r="AY1603" s="3"/>
      <c r="AZ1603" s="3"/>
      <c r="BA1603" s="3"/>
      <c r="BB1603" s="4"/>
      <c r="BC1603" s="3"/>
      <c r="BD1603" s="3"/>
      <c r="BE1603" s="4"/>
      <c r="BF1603" s="4"/>
      <c r="BG1603" s="4"/>
      <c r="BH1603" s="4"/>
      <c r="BI1603" s="4"/>
      <c r="BJ1603" s="4"/>
      <c r="BK1603" s="4"/>
      <c r="BL1603" s="4"/>
      <c r="BM1603" s="4"/>
      <c r="BN1603" s="4"/>
      <c r="BO1603" s="4"/>
      <c r="BP1603" s="4"/>
      <c r="BQ1603" s="4"/>
      <c r="BR1603" s="4"/>
      <c r="BS1603" s="4"/>
      <c r="BT1603" s="4"/>
      <c r="BU1603" s="4"/>
      <c r="BV1603" s="4"/>
      <c r="BW1603" s="4"/>
      <c r="BX1603" s="4"/>
      <c r="BY1603" s="4"/>
      <c r="BZ1603" s="4"/>
      <c r="CA1603" s="4"/>
      <c r="CB1603" s="4"/>
      <c r="CC1603" s="4"/>
      <c r="CD1603" s="4"/>
      <c r="CE1603" s="4"/>
      <c r="CF1603" s="4"/>
      <c r="CG1603" s="4"/>
      <c r="CH1603" s="4"/>
      <c r="CI1603" s="4"/>
      <c r="CJ1603" s="4"/>
      <c r="CK1603" s="4"/>
      <c r="CL1603" s="4"/>
      <c r="CM1603" s="4"/>
      <c r="CN1603" s="3"/>
      <c r="CO1603" s="3"/>
      <c r="CP1603" s="4"/>
      <c r="CQ1603" s="4"/>
      <c r="CR1603" s="4"/>
      <c r="CS1603" s="4"/>
      <c r="CT1603" s="4"/>
      <c r="CU1603" s="4"/>
      <c r="CV1603" s="4"/>
      <c r="CW1603" s="4"/>
      <c r="CX1603" s="4"/>
      <c r="CY1603" s="4"/>
      <c r="CZ1603" s="4"/>
      <c r="DA1603" s="4"/>
      <c r="DB1603" s="4"/>
      <c r="DC1603" s="4"/>
      <c r="DD1603" s="4"/>
      <c r="DE1603" s="4"/>
      <c r="DF1603" s="4"/>
      <c r="DG1603" s="4"/>
      <c r="DH1603" s="4"/>
      <c r="DI1603" s="4"/>
      <c r="DJ1603" s="4"/>
      <c r="DK1603" s="4"/>
      <c r="DL1603" s="4"/>
      <c r="DM1603" s="4"/>
      <c r="DN1603" s="4"/>
      <c r="DO1603" s="4"/>
      <c r="DP1603" s="4"/>
      <c r="DQ1603" s="4"/>
      <c r="DR1603" s="4"/>
      <c r="DS1603" s="4"/>
      <c r="DT1603" s="4"/>
      <c r="DU1603" s="4"/>
      <c r="DV1603" s="4"/>
      <c r="DW1603" s="4"/>
      <c r="DX1603" s="4"/>
      <c r="DY1603" s="4"/>
      <c r="DZ1603" s="4"/>
      <c r="EA1603" s="4"/>
    </row>
    <row r="1604" spans="1:147" hidden="1">
      <c r="A1604" s="11" t="s">
        <v>9940</v>
      </c>
      <c r="B1604" s="3" t="s">
        <v>8379</v>
      </c>
      <c r="C1604" s="3">
        <v>2010</v>
      </c>
      <c r="D1604" s="3" t="s">
        <v>7552</v>
      </c>
      <c r="E1604" s="3" t="s">
        <v>9908</v>
      </c>
      <c r="F1604" s="3">
        <v>1</v>
      </c>
      <c r="G1604" s="4"/>
      <c r="H1604" s="3" t="s">
        <v>7555</v>
      </c>
      <c r="I1604" s="3"/>
      <c r="J1604" s="3"/>
      <c r="K1604" s="4"/>
      <c r="L1604" s="4"/>
      <c r="M1604" s="4"/>
      <c r="T1604" s="4"/>
      <c r="V1604" s="3"/>
      <c r="W1604" s="3"/>
      <c r="X1604" s="5" t="s">
        <v>7556</v>
      </c>
      <c r="Y1604" s="5"/>
      <c r="Z1604" s="3">
        <v>0</v>
      </c>
      <c r="AA1604" s="3" t="s">
        <v>9245</v>
      </c>
      <c r="AB1604" s="4"/>
      <c r="AE1604" s="3"/>
      <c r="AF1604" s="4"/>
      <c r="AG1604" s="4"/>
      <c r="AH1604" s="4"/>
      <c r="AI1604" s="4"/>
      <c r="AJ1604" s="4"/>
      <c r="AK1604" s="3"/>
      <c r="AL1604" s="3"/>
      <c r="AM1604" s="3"/>
      <c r="AN1604" s="3"/>
      <c r="AO1604" s="4"/>
      <c r="AP1604" s="4"/>
      <c r="AQ1604" s="3"/>
      <c r="AR1604" s="4"/>
      <c r="AS1604" s="4"/>
      <c r="AT1604" s="4"/>
      <c r="AU1604" s="4"/>
      <c r="AV1604" s="4"/>
      <c r="AW1604" s="4"/>
      <c r="AX1604" s="4"/>
      <c r="AY1604" s="4"/>
      <c r="AZ1604" s="4"/>
      <c r="BA1604" s="3"/>
      <c r="BB1604" s="4"/>
      <c r="BC1604" s="3"/>
      <c r="BD1604" s="3"/>
      <c r="BE1604" s="3"/>
      <c r="BF1604" s="4"/>
      <c r="BG1604" s="3"/>
      <c r="BH1604" s="3"/>
      <c r="BI1604" s="4"/>
      <c r="BJ1604" s="4"/>
      <c r="BK1604" s="4"/>
      <c r="BL1604" s="4"/>
      <c r="BM1604" s="4"/>
      <c r="BN1604" s="4"/>
      <c r="BO1604" s="4"/>
      <c r="BP1604" s="4"/>
      <c r="BQ1604" s="4"/>
      <c r="BR1604" s="4"/>
      <c r="BS1604" s="4"/>
      <c r="BT1604" s="4"/>
      <c r="BU1604" s="4"/>
      <c r="BV1604" s="4"/>
      <c r="BW1604" s="4"/>
      <c r="BX1604" s="4"/>
      <c r="BY1604" s="4"/>
      <c r="BZ1604" s="4"/>
      <c r="CA1604" s="4"/>
      <c r="CB1604" s="4"/>
      <c r="CC1604" s="4"/>
      <c r="CD1604" s="4"/>
      <c r="CE1604" s="4"/>
      <c r="CF1604" s="4"/>
      <c r="CG1604" s="4"/>
      <c r="CH1604" s="4"/>
      <c r="CI1604" s="4"/>
      <c r="CJ1604" s="4"/>
      <c r="CK1604" s="4"/>
      <c r="CL1604" s="4"/>
      <c r="CM1604" s="4"/>
      <c r="CN1604" s="4"/>
      <c r="CO1604" s="4"/>
      <c r="CP1604" s="4"/>
      <c r="CQ1604" s="4"/>
      <c r="CR1604" s="4"/>
      <c r="CS1604" s="4"/>
      <c r="CT1604" s="4"/>
      <c r="CU1604" s="4"/>
      <c r="CV1604" s="4"/>
      <c r="CW1604" s="4"/>
      <c r="CX1604" s="4"/>
      <c r="CY1604" s="4"/>
      <c r="CZ1604" s="3"/>
      <c r="DA1604" s="3"/>
      <c r="DB1604" s="4"/>
      <c r="DC1604" s="4"/>
      <c r="DD1604" s="4"/>
      <c r="DE1604" s="4"/>
      <c r="DF1604" s="4"/>
      <c r="DG1604" s="4"/>
      <c r="DH1604" s="4"/>
      <c r="DI1604" s="4"/>
      <c r="DJ1604" s="4"/>
      <c r="DK1604" s="4"/>
      <c r="DL1604" s="4"/>
      <c r="DM1604" s="4"/>
      <c r="DN1604" s="4"/>
      <c r="DO1604" s="4"/>
      <c r="DP1604" s="4"/>
      <c r="DQ1604" s="4"/>
      <c r="DR1604" s="4"/>
      <c r="DS1604" s="4"/>
      <c r="DT1604" s="4"/>
      <c r="DU1604" s="4"/>
      <c r="DV1604" s="4"/>
      <c r="DW1604" s="4"/>
      <c r="DX1604" s="4"/>
      <c r="DY1604" s="4"/>
      <c r="DZ1604" s="4"/>
      <c r="EA1604" s="4"/>
      <c r="EB1604" s="4"/>
      <c r="EC1604" s="4"/>
      <c r="ED1604" s="4"/>
      <c r="EE1604" s="4"/>
      <c r="EF1604" s="4"/>
      <c r="EG1604" s="4"/>
      <c r="EH1604" s="4"/>
      <c r="EI1604" s="4"/>
      <c r="EJ1604" s="4"/>
      <c r="EK1604" s="4"/>
      <c r="EL1604" s="4"/>
      <c r="EM1604" s="4"/>
    </row>
    <row r="1605" spans="1:147" hidden="1">
      <c r="A1605" s="11" t="s">
        <v>9940</v>
      </c>
      <c r="B1605" s="3" t="s">
        <v>8379</v>
      </c>
      <c r="C1605" s="3">
        <v>2010</v>
      </c>
      <c r="D1605" s="3" t="s">
        <v>3492</v>
      </c>
      <c r="E1605" s="3" t="s">
        <v>9909</v>
      </c>
      <c r="F1605" s="3">
        <v>1</v>
      </c>
      <c r="G1605" s="4"/>
      <c r="H1605" s="3" t="s">
        <v>3496</v>
      </c>
      <c r="I1605" s="3"/>
      <c r="J1605" s="3"/>
      <c r="K1605" s="4"/>
      <c r="L1605" s="4"/>
      <c r="M1605" s="4"/>
      <c r="T1605" s="4"/>
      <c r="V1605" s="3"/>
      <c r="W1605" s="3"/>
      <c r="X1605" s="5" t="s">
        <v>3497</v>
      </c>
      <c r="Y1605" s="5"/>
      <c r="Z1605" s="3">
        <v>0</v>
      </c>
      <c r="AA1605" s="3" t="s">
        <v>9178</v>
      </c>
      <c r="AB1605" s="4"/>
      <c r="AE1605" s="3"/>
      <c r="AF1605" s="4"/>
      <c r="AG1605" s="4"/>
      <c r="AH1605" s="4"/>
      <c r="AI1605" s="4"/>
      <c r="AJ1605" s="4"/>
      <c r="AK1605" s="3"/>
      <c r="AL1605" s="3"/>
      <c r="AM1605" s="3"/>
      <c r="AN1605" s="3"/>
      <c r="AO1605" s="4"/>
      <c r="AP1605" s="4"/>
      <c r="AQ1605" s="3"/>
      <c r="AR1605" s="4"/>
      <c r="AS1605" s="4"/>
      <c r="AT1605" s="4"/>
      <c r="AU1605" s="4"/>
      <c r="AV1605" s="4"/>
      <c r="AW1605" s="4"/>
      <c r="AX1605" s="4"/>
      <c r="AY1605" s="4"/>
      <c r="AZ1605" s="4"/>
      <c r="BA1605" s="3"/>
      <c r="BB1605" s="4"/>
      <c r="BC1605" s="3"/>
      <c r="BD1605" s="3"/>
      <c r="BE1605" s="3"/>
      <c r="BF1605" s="4"/>
      <c r="BG1605" s="3"/>
      <c r="BH1605" s="3"/>
      <c r="BI1605" s="4"/>
      <c r="BJ1605" s="4"/>
      <c r="BK1605" s="4"/>
      <c r="BL1605" s="4"/>
      <c r="BM1605" s="4"/>
      <c r="BN1605" s="4"/>
      <c r="BO1605" s="4"/>
      <c r="BP1605" s="4"/>
      <c r="BQ1605" s="4"/>
      <c r="BR1605" s="4"/>
      <c r="BS1605" s="4"/>
      <c r="BT1605" s="4"/>
      <c r="BU1605" s="4"/>
      <c r="BV1605" s="4"/>
      <c r="BW1605" s="4"/>
      <c r="BX1605" s="4"/>
      <c r="BY1605" s="4"/>
      <c r="BZ1605" s="4"/>
      <c r="CA1605" s="4"/>
      <c r="CB1605" s="4"/>
      <c r="CC1605" s="4"/>
      <c r="CD1605" s="4"/>
      <c r="CE1605" s="4"/>
      <c r="CF1605" s="4"/>
      <c r="CG1605" s="4"/>
      <c r="CH1605" s="4"/>
      <c r="CI1605" s="4"/>
      <c r="CJ1605" s="4"/>
      <c r="CK1605" s="4"/>
      <c r="CL1605" s="4"/>
      <c r="CM1605" s="4"/>
      <c r="CN1605" s="4"/>
      <c r="CO1605" s="4"/>
      <c r="CP1605" s="4"/>
      <c r="CQ1605" s="4"/>
      <c r="CR1605" s="4"/>
      <c r="CS1605" s="4"/>
      <c r="CT1605" s="4"/>
      <c r="CU1605" s="4"/>
      <c r="CV1605" s="4"/>
      <c r="CW1605" s="4"/>
      <c r="CX1605" s="4"/>
      <c r="CY1605" s="4"/>
      <c r="CZ1605" s="3"/>
      <c r="DA1605" s="3"/>
      <c r="DB1605" s="4"/>
      <c r="DC1605" s="4"/>
      <c r="DD1605" s="4"/>
      <c r="DE1605" s="4"/>
      <c r="DF1605" s="4"/>
      <c r="DG1605" s="4"/>
      <c r="DH1605" s="4"/>
      <c r="DI1605" s="4"/>
      <c r="DJ1605" s="4"/>
      <c r="DK1605" s="4"/>
      <c r="DL1605" s="4"/>
      <c r="DM1605" s="4"/>
      <c r="DN1605" s="4"/>
      <c r="DO1605" s="4"/>
      <c r="DP1605" s="4"/>
      <c r="DQ1605" s="4"/>
      <c r="DR1605" s="4"/>
      <c r="DS1605" s="4"/>
      <c r="DT1605" s="4"/>
      <c r="DU1605" s="4"/>
      <c r="DV1605" s="4"/>
      <c r="DW1605" s="4"/>
      <c r="DX1605" s="4"/>
      <c r="DY1605" s="4"/>
      <c r="DZ1605" s="4"/>
      <c r="EA1605" s="4"/>
      <c r="EB1605" s="4"/>
      <c r="EC1605" s="4"/>
      <c r="ED1605" s="4"/>
      <c r="EE1605" s="4"/>
      <c r="EF1605" s="4"/>
      <c r="EG1605" s="4"/>
      <c r="EH1605" s="4"/>
      <c r="EI1605" s="4"/>
      <c r="EJ1605" s="4"/>
      <c r="EK1605" s="4"/>
      <c r="EL1605" s="4"/>
      <c r="EM1605" s="4"/>
    </row>
    <row r="1606" spans="1:147" hidden="1">
      <c r="A1606" s="11" t="s">
        <v>9940</v>
      </c>
      <c r="B1606" s="3" t="s">
        <v>8373</v>
      </c>
      <c r="C1606" s="3">
        <v>2008</v>
      </c>
      <c r="D1606" s="3" t="s">
        <v>3601</v>
      </c>
      <c r="E1606" s="3" t="s">
        <v>9183</v>
      </c>
      <c r="F1606" s="3">
        <v>1</v>
      </c>
      <c r="G1606" s="3"/>
      <c r="H1606" s="3" t="s">
        <v>3605</v>
      </c>
      <c r="I1606" s="3"/>
      <c r="J1606" s="3"/>
      <c r="K1606" s="3" t="s">
        <v>132</v>
      </c>
      <c r="L1606" s="4"/>
      <c r="M1606" s="3" t="s">
        <v>8382</v>
      </c>
      <c r="T1606" s="3" t="s">
        <v>3603</v>
      </c>
      <c r="V1606" s="3"/>
      <c r="W1606" s="3"/>
      <c r="X1606" s="5" t="s">
        <v>3606</v>
      </c>
      <c r="Y1606" s="5"/>
      <c r="Z1606" s="3">
        <v>1</v>
      </c>
      <c r="AA1606" s="4"/>
      <c r="AB1606" s="3"/>
      <c r="AE1606" s="3"/>
      <c r="AF1606" s="3"/>
      <c r="AG1606" s="4"/>
      <c r="AH1606" s="4"/>
      <c r="AI1606" s="4"/>
      <c r="AJ1606" s="4"/>
      <c r="AK1606" s="3"/>
      <c r="AL1606" s="3"/>
      <c r="AM1606" s="3"/>
      <c r="AN1606" s="3"/>
      <c r="AO1606" s="4"/>
      <c r="AP1606" s="3"/>
      <c r="AQ1606" s="4"/>
      <c r="AR1606" s="3"/>
      <c r="AS1606" s="3"/>
      <c r="AT1606" s="4"/>
      <c r="AU1606" s="3"/>
      <c r="AV1606" s="4"/>
      <c r="AW1606" s="4"/>
      <c r="AX1606" s="4"/>
      <c r="AY1606" s="4"/>
      <c r="AZ1606" s="4"/>
      <c r="BA1606" s="4"/>
      <c r="BB1606" s="4"/>
      <c r="BC1606" s="4"/>
      <c r="BD1606" s="4"/>
      <c r="BE1606" s="4"/>
      <c r="BF1606" s="3"/>
      <c r="BG1606" s="3"/>
      <c r="BH1606" s="3"/>
      <c r="BI1606" s="4"/>
      <c r="BJ1606" s="3"/>
      <c r="BK1606" s="4"/>
      <c r="BL1606" s="4"/>
      <c r="BM1606" s="3"/>
      <c r="BN1606" s="4"/>
      <c r="BO1606" s="4"/>
      <c r="BP1606" s="4"/>
      <c r="BQ1606" s="4"/>
      <c r="BR1606" s="4"/>
      <c r="BS1606" s="4"/>
      <c r="BT1606" s="4"/>
      <c r="BU1606" s="4"/>
      <c r="BV1606" s="4"/>
      <c r="BW1606" s="4"/>
      <c r="BX1606" s="4"/>
      <c r="BY1606" s="4"/>
      <c r="BZ1606" s="4"/>
      <c r="CA1606" s="4"/>
      <c r="CB1606" s="4"/>
      <c r="CC1606" s="4"/>
      <c r="CD1606" s="4"/>
      <c r="CE1606" s="4"/>
      <c r="CF1606" s="4"/>
      <c r="CG1606" s="4"/>
      <c r="CH1606" s="4"/>
      <c r="CI1606" s="4"/>
      <c r="CJ1606" s="4"/>
      <c r="CK1606" s="4"/>
      <c r="CL1606" s="4"/>
      <c r="CM1606" s="4"/>
      <c r="CN1606" s="4"/>
      <c r="CO1606" s="4"/>
      <c r="CP1606" s="4"/>
      <c r="CQ1606" s="4"/>
      <c r="CR1606" s="4"/>
      <c r="CS1606" s="4"/>
      <c r="CT1606" s="4"/>
      <c r="CU1606" s="4"/>
      <c r="CV1606" s="4"/>
      <c r="CW1606" s="4"/>
      <c r="CX1606" s="4"/>
      <c r="CY1606" s="4"/>
      <c r="CZ1606" s="4"/>
      <c r="DA1606" s="4"/>
      <c r="DB1606" s="3"/>
      <c r="DC1606" s="3"/>
      <c r="DD1606" s="8"/>
      <c r="DE1606" s="4"/>
      <c r="DF1606" s="4"/>
      <c r="DG1606" s="4"/>
      <c r="DH1606" s="4"/>
      <c r="DI1606" s="8"/>
      <c r="DJ1606" s="8"/>
      <c r="DK1606" s="8"/>
      <c r="DL1606" s="8"/>
      <c r="DM1606" s="4"/>
      <c r="DN1606" s="4"/>
      <c r="DO1606" s="4"/>
      <c r="DP1606" s="4"/>
      <c r="DQ1606" s="4"/>
      <c r="DR1606" s="4"/>
      <c r="DS1606" s="4"/>
      <c r="DT1606" s="4"/>
      <c r="DU1606" s="4"/>
      <c r="DV1606" s="4"/>
      <c r="DW1606" s="4"/>
      <c r="DX1606" s="4"/>
      <c r="DY1606" s="4"/>
      <c r="DZ1606" s="4"/>
      <c r="EA1606" s="4"/>
      <c r="EB1606" s="4"/>
      <c r="EC1606" s="4"/>
      <c r="ED1606" s="4"/>
      <c r="EE1606" s="4"/>
      <c r="EF1606" s="4"/>
      <c r="EG1606" s="8"/>
      <c r="EH1606" s="8"/>
      <c r="EI1606" s="8"/>
      <c r="EJ1606" s="8"/>
      <c r="EK1606" s="8"/>
      <c r="EL1606" s="8"/>
      <c r="EM1606" s="4"/>
      <c r="EN1606" s="4"/>
      <c r="EO1606" s="4"/>
    </row>
    <row r="1607" spans="1:147" hidden="1">
      <c r="A1607" s="11" t="s">
        <v>9940</v>
      </c>
      <c r="B1607" s="3" t="s">
        <v>8379</v>
      </c>
      <c r="C1607" s="3">
        <v>1995</v>
      </c>
      <c r="D1607" s="3" t="s">
        <v>9184</v>
      </c>
      <c r="E1607" s="3" t="s">
        <v>9185</v>
      </c>
      <c r="F1607" s="3">
        <v>1</v>
      </c>
      <c r="G1607" s="4"/>
      <c r="H1607" s="3" t="s">
        <v>9187</v>
      </c>
      <c r="I1607" s="3"/>
      <c r="J1607" s="3"/>
      <c r="K1607" s="4"/>
      <c r="L1607" s="4"/>
      <c r="M1607" s="4"/>
      <c r="T1607" s="4"/>
      <c r="V1607" s="3"/>
      <c r="W1607" s="3"/>
      <c r="X1607" s="5" t="s">
        <v>9186</v>
      </c>
      <c r="Y1607" s="5"/>
      <c r="Z1607" s="3">
        <v>1</v>
      </c>
      <c r="AA1607" s="4"/>
      <c r="AB1607" s="3"/>
      <c r="AE1607" s="3"/>
      <c r="AF1607" s="3"/>
      <c r="AG1607" s="3"/>
      <c r="AH1607" s="4"/>
      <c r="AI1607" s="4"/>
      <c r="AJ1607" s="4"/>
      <c r="AK1607" s="3"/>
      <c r="AL1607" s="3"/>
      <c r="AM1607" s="3"/>
      <c r="AN1607" s="3"/>
      <c r="AO1607" s="4"/>
      <c r="AP1607" s="4"/>
      <c r="AQ1607" s="3"/>
      <c r="AR1607" s="4"/>
      <c r="AS1607" s="4"/>
      <c r="AT1607" s="4"/>
      <c r="AU1607" s="4"/>
      <c r="AV1607" s="4"/>
      <c r="AW1607" s="4"/>
      <c r="AX1607" s="4"/>
      <c r="AY1607" s="4"/>
      <c r="AZ1607" s="4"/>
      <c r="BA1607" s="3"/>
      <c r="BB1607" s="4"/>
      <c r="BC1607" s="3"/>
      <c r="BD1607" s="3"/>
      <c r="BE1607" s="3"/>
      <c r="BF1607" s="4"/>
      <c r="BG1607" s="3"/>
      <c r="BH1607" s="3"/>
      <c r="BI1607" s="4"/>
      <c r="BJ1607" s="4"/>
      <c r="BK1607" s="4"/>
      <c r="BL1607" s="4"/>
      <c r="BM1607" s="4"/>
      <c r="BN1607" s="4"/>
      <c r="BO1607" s="4"/>
      <c r="BP1607" s="4"/>
      <c r="BQ1607" s="4"/>
      <c r="BR1607" s="4"/>
      <c r="BS1607" s="4"/>
      <c r="BT1607" s="4"/>
      <c r="BU1607" s="4"/>
      <c r="BV1607" s="4"/>
      <c r="BW1607" s="4"/>
      <c r="BX1607" s="4"/>
      <c r="BY1607" s="4"/>
      <c r="BZ1607" s="4"/>
      <c r="CA1607" s="4"/>
      <c r="CB1607" s="4"/>
      <c r="CC1607" s="4"/>
      <c r="CD1607" s="4"/>
      <c r="CE1607" s="4"/>
      <c r="CF1607" s="4"/>
      <c r="CG1607" s="4"/>
      <c r="CH1607" s="4"/>
      <c r="CI1607" s="4"/>
      <c r="CJ1607" s="4"/>
      <c r="CK1607" s="4"/>
      <c r="CL1607" s="4"/>
      <c r="CM1607" s="4"/>
      <c r="CN1607" s="4"/>
      <c r="CO1607" s="4"/>
      <c r="CP1607" s="4"/>
      <c r="CQ1607" s="4"/>
      <c r="CR1607" s="4"/>
      <c r="CS1607" s="4"/>
      <c r="CT1607" s="4"/>
      <c r="CU1607" s="4"/>
      <c r="CV1607" s="3"/>
      <c r="CW1607" s="3"/>
      <c r="CX1607" s="3"/>
      <c r="CY1607" s="4"/>
      <c r="CZ1607" s="4"/>
      <c r="DA1607" s="18"/>
      <c r="DB1607" s="4"/>
      <c r="DC1607" s="8"/>
      <c r="DD1607" s="8"/>
      <c r="DE1607" s="8"/>
      <c r="DF1607" s="8"/>
      <c r="DG1607" s="4"/>
      <c r="DH1607" s="4"/>
      <c r="DI1607" s="4"/>
      <c r="DJ1607" s="4"/>
      <c r="DK1607" s="4"/>
      <c r="DL1607" s="4"/>
      <c r="DM1607" s="4"/>
      <c r="DN1607" s="4"/>
      <c r="DO1607" s="4"/>
      <c r="DP1607" s="4"/>
      <c r="DQ1607" s="4"/>
      <c r="DR1607" s="4"/>
      <c r="DS1607" s="4"/>
      <c r="DT1607" s="4"/>
      <c r="DU1607" s="4"/>
      <c r="DV1607" s="4"/>
      <c r="DW1607" s="4"/>
      <c r="DX1607" s="4"/>
      <c r="DY1607" s="4"/>
      <c r="DZ1607" s="4"/>
      <c r="EA1607" s="3"/>
      <c r="EB1607" s="3"/>
      <c r="EC1607" s="3"/>
      <c r="ED1607" s="3"/>
      <c r="EE1607" s="3"/>
      <c r="EF1607" s="3"/>
      <c r="EG1607" s="4"/>
      <c r="EH1607" s="4"/>
      <c r="EI1607" s="3"/>
    </row>
    <row r="1608" spans="1:147" hidden="1">
      <c r="A1608" s="11" t="s">
        <v>9940</v>
      </c>
      <c r="B1608" s="3" t="s">
        <v>8379</v>
      </c>
      <c r="C1608" s="3">
        <v>2000</v>
      </c>
      <c r="D1608" s="3" t="s">
        <v>9188</v>
      </c>
      <c r="E1608" s="3" t="s">
        <v>9189</v>
      </c>
      <c r="F1608" s="3">
        <v>1</v>
      </c>
      <c r="G1608" s="4"/>
      <c r="H1608" s="3" t="s">
        <v>9191</v>
      </c>
      <c r="I1608" s="3"/>
      <c r="J1608" s="3"/>
      <c r="K1608" s="4"/>
      <c r="L1608" s="4"/>
      <c r="M1608" s="4"/>
      <c r="T1608" s="4"/>
      <c r="V1608" s="3"/>
      <c r="W1608" s="4"/>
      <c r="X1608" s="5" t="s">
        <v>9190</v>
      </c>
      <c r="Y1608" s="5"/>
      <c r="Z1608" s="3">
        <v>1</v>
      </c>
      <c r="AA1608" s="4"/>
      <c r="AB1608" s="4"/>
      <c r="AE1608" s="3"/>
      <c r="AF1608" s="3"/>
      <c r="AG1608" s="3"/>
      <c r="AH1608" s="4"/>
      <c r="AI1608" s="4"/>
      <c r="AJ1608" s="4"/>
      <c r="AK1608" s="3"/>
      <c r="AL1608" s="3"/>
      <c r="AM1608" s="3"/>
      <c r="AN1608" s="3"/>
      <c r="AO1608" s="4"/>
      <c r="AP1608" s="4"/>
      <c r="AQ1608" s="3"/>
      <c r="AR1608" s="4"/>
      <c r="AS1608" s="4"/>
      <c r="AT1608" s="4"/>
      <c r="AU1608" s="4"/>
      <c r="AV1608" s="4"/>
      <c r="AW1608" s="4"/>
      <c r="AX1608" s="4"/>
      <c r="AY1608" s="4"/>
      <c r="AZ1608" s="4"/>
      <c r="BA1608" s="3"/>
      <c r="BB1608" s="4"/>
      <c r="BC1608" s="3"/>
      <c r="BD1608" s="3"/>
      <c r="BE1608" s="3"/>
      <c r="BF1608" s="4"/>
      <c r="BG1608" s="3"/>
      <c r="BH1608" s="3"/>
      <c r="BI1608" s="4"/>
      <c r="BJ1608" s="4"/>
      <c r="BK1608" s="4"/>
      <c r="BL1608" s="4"/>
      <c r="BM1608" s="4"/>
      <c r="BN1608" s="4"/>
      <c r="BO1608" s="4"/>
      <c r="BP1608" s="4"/>
      <c r="BQ1608" s="4"/>
      <c r="BR1608" s="4"/>
      <c r="BS1608" s="4"/>
      <c r="BT1608" s="4"/>
      <c r="BU1608" s="4"/>
      <c r="BV1608" s="4"/>
      <c r="BW1608" s="4"/>
      <c r="BX1608" s="4"/>
      <c r="BY1608" s="4"/>
      <c r="BZ1608" s="4"/>
      <c r="CA1608" s="4"/>
      <c r="CB1608" s="4"/>
      <c r="CC1608" s="4"/>
      <c r="CD1608" s="4"/>
      <c r="CE1608" s="4"/>
      <c r="CF1608" s="4"/>
      <c r="CG1608" s="4"/>
      <c r="CH1608" s="4"/>
      <c r="CI1608" s="4"/>
      <c r="CJ1608" s="4"/>
      <c r="CK1608" s="4"/>
      <c r="CL1608" s="4"/>
      <c r="CM1608" s="4"/>
      <c r="CN1608" s="4"/>
      <c r="CO1608" s="4"/>
      <c r="CP1608" s="4"/>
      <c r="CQ1608" s="4"/>
      <c r="CR1608" s="4"/>
      <c r="CS1608" s="4"/>
      <c r="CT1608" s="4"/>
      <c r="CU1608" s="4"/>
      <c r="CV1608" s="4"/>
      <c r="CW1608" s="4"/>
      <c r="CX1608" s="4"/>
      <c r="CY1608" s="4"/>
      <c r="CZ1608" s="4"/>
      <c r="DA1608" s="4"/>
      <c r="DB1608" s="3"/>
      <c r="DC1608" s="3"/>
      <c r="DD1608" s="3"/>
      <c r="DE1608" s="4"/>
      <c r="DF1608" s="4"/>
      <c r="DG1608" s="4"/>
      <c r="DH1608" s="4"/>
      <c r="DI1608" s="3"/>
      <c r="DJ1608" s="3"/>
      <c r="DK1608" s="3"/>
      <c r="DL1608" s="3"/>
      <c r="DM1608" s="4"/>
      <c r="DN1608" s="4"/>
      <c r="DO1608" s="4"/>
      <c r="DP1608" s="4"/>
      <c r="DQ1608" s="8"/>
      <c r="DR1608" s="4"/>
      <c r="DS1608" s="4"/>
      <c r="DT1608" s="4"/>
      <c r="DU1608" s="4"/>
      <c r="DV1608" s="4"/>
      <c r="DW1608" s="4"/>
      <c r="DX1608" s="4"/>
      <c r="DY1608" s="4"/>
      <c r="DZ1608" s="4"/>
      <c r="EA1608" s="4"/>
      <c r="EB1608" s="4"/>
      <c r="EC1608" s="4"/>
      <c r="ED1608" s="4"/>
      <c r="EE1608" s="4"/>
      <c r="EF1608" s="4"/>
      <c r="EG1608" s="3"/>
      <c r="EH1608" s="3"/>
      <c r="EI1608" s="3"/>
      <c r="EJ1608" s="3"/>
      <c r="EK1608" s="3"/>
      <c r="EL1608" s="3"/>
      <c r="EM1608" s="4"/>
      <c r="EN1608" s="4"/>
      <c r="EO1608" s="3"/>
    </row>
    <row r="1609" spans="1:147" hidden="1">
      <c r="A1609" s="11" t="s">
        <v>9940</v>
      </c>
      <c r="B1609" s="3" t="s">
        <v>8379</v>
      </c>
      <c r="C1609" s="3">
        <v>1997</v>
      </c>
      <c r="D1609" s="3" t="s">
        <v>9192</v>
      </c>
      <c r="E1609" s="3" t="s">
        <v>9193</v>
      </c>
      <c r="F1609" s="3">
        <v>1</v>
      </c>
      <c r="G1609" s="4"/>
      <c r="H1609" s="3" t="s">
        <v>9195</v>
      </c>
      <c r="I1609" s="3"/>
      <c r="J1609" s="3"/>
      <c r="K1609" s="4"/>
      <c r="L1609" s="4"/>
      <c r="M1609" s="4"/>
      <c r="T1609" s="4"/>
      <c r="V1609" s="3"/>
      <c r="W1609" s="4"/>
      <c r="X1609" s="5" t="s">
        <v>9194</v>
      </c>
      <c r="Y1609" s="5"/>
      <c r="Z1609" s="3">
        <v>1</v>
      </c>
      <c r="AA1609" s="4"/>
      <c r="AB1609" s="4"/>
      <c r="AE1609" s="3"/>
      <c r="AF1609" s="3"/>
      <c r="AG1609" s="3"/>
      <c r="AH1609" s="4"/>
      <c r="AI1609" s="4"/>
      <c r="AJ1609" s="4"/>
      <c r="AK1609" s="3"/>
      <c r="AL1609" s="3"/>
      <c r="AM1609" s="3"/>
      <c r="AN1609" s="3"/>
      <c r="AO1609" s="4"/>
      <c r="AP1609" s="4"/>
      <c r="AQ1609" s="3"/>
      <c r="AR1609" s="4"/>
      <c r="AS1609" s="4"/>
      <c r="AT1609" s="4"/>
      <c r="AU1609" s="4"/>
      <c r="AV1609" s="4"/>
      <c r="AW1609" s="4"/>
      <c r="AX1609" s="4"/>
      <c r="AY1609" s="4"/>
      <c r="AZ1609" s="4"/>
      <c r="BA1609" s="3"/>
      <c r="BB1609" s="4"/>
      <c r="BC1609" s="3"/>
      <c r="BD1609" s="3"/>
      <c r="BE1609" s="3"/>
      <c r="BF1609" s="4"/>
      <c r="BG1609" s="3"/>
      <c r="BH1609" s="3"/>
      <c r="BI1609" s="4"/>
      <c r="BJ1609" s="4"/>
      <c r="BK1609" s="4"/>
      <c r="BL1609" s="4"/>
      <c r="BM1609" s="4"/>
      <c r="BN1609" s="4"/>
      <c r="BO1609" s="4"/>
      <c r="BP1609" s="4"/>
      <c r="BQ1609" s="4"/>
      <c r="BR1609" s="4"/>
      <c r="BS1609" s="4"/>
      <c r="BT1609" s="4"/>
      <c r="BU1609" s="4"/>
      <c r="BV1609" s="4"/>
      <c r="BW1609" s="4"/>
      <c r="BX1609" s="4"/>
      <c r="BY1609" s="4"/>
      <c r="BZ1609" s="4"/>
      <c r="CA1609" s="4"/>
      <c r="CB1609" s="4"/>
      <c r="CC1609" s="4"/>
      <c r="CD1609" s="4"/>
      <c r="CE1609" s="4"/>
      <c r="CF1609" s="4"/>
      <c r="CG1609" s="4"/>
      <c r="CH1609" s="4"/>
      <c r="CI1609" s="4"/>
      <c r="CJ1609" s="4"/>
      <c r="CK1609" s="4"/>
      <c r="CL1609" s="4"/>
      <c r="CM1609" s="4"/>
      <c r="CN1609" s="4"/>
      <c r="CO1609" s="4"/>
      <c r="CP1609" s="4"/>
      <c r="CQ1609" s="4"/>
      <c r="CR1609" s="4"/>
      <c r="CS1609" s="4"/>
      <c r="CT1609" s="4"/>
      <c r="CU1609" s="3"/>
      <c r="CV1609" s="3"/>
      <c r="CW1609" s="3"/>
      <c r="CX1609" s="4"/>
      <c r="CY1609" s="4"/>
      <c r="CZ1609" s="4"/>
      <c r="DA1609" s="4"/>
      <c r="DB1609" s="3"/>
      <c r="DC1609" s="3"/>
      <c r="DD1609" s="3"/>
      <c r="DE1609" s="3"/>
      <c r="DF1609" s="4"/>
      <c r="DG1609" s="4"/>
      <c r="DH1609" s="4"/>
      <c r="DI1609" s="4"/>
      <c r="DJ1609" s="4"/>
      <c r="DK1609" s="4"/>
      <c r="DL1609" s="4"/>
      <c r="DM1609" s="4"/>
      <c r="DN1609" s="4"/>
      <c r="DO1609" s="4"/>
      <c r="DP1609" s="4"/>
      <c r="DQ1609" s="4"/>
      <c r="DR1609" s="4"/>
      <c r="DS1609" s="4"/>
      <c r="DT1609" s="4"/>
      <c r="DU1609" s="4"/>
      <c r="DV1609" s="4"/>
      <c r="DW1609" s="4"/>
      <c r="DX1609" s="4"/>
      <c r="DY1609" s="4"/>
      <c r="DZ1609" s="3"/>
      <c r="EA1609" s="3"/>
      <c r="EB1609" s="3"/>
      <c r="EC1609" s="3"/>
      <c r="ED1609" s="3"/>
      <c r="EE1609" s="3"/>
      <c r="EF1609" s="4"/>
      <c r="EG1609" s="4"/>
      <c r="EH1609" s="3"/>
    </row>
    <row r="1610" spans="1:147" hidden="1">
      <c r="A1610" s="11" t="s">
        <v>9940</v>
      </c>
      <c r="B1610" s="3" t="s">
        <v>8379</v>
      </c>
      <c r="C1610" s="3">
        <v>2008</v>
      </c>
      <c r="D1610" s="3" t="s">
        <v>2215</v>
      </c>
      <c r="E1610" s="3" t="s">
        <v>9910</v>
      </c>
      <c r="F1610" s="3">
        <v>0</v>
      </c>
      <c r="G1610" s="3" t="s">
        <v>9178</v>
      </c>
      <c r="H1610" s="3" t="s">
        <v>2219</v>
      </c>
      <c r="I1610" s="3"/>
      <c r="J1610" s="3"/>
      <c r="K1610" s="4"/>
      <c r="L1610" s="4"/>
      <c r="M1610" s="4"/>
      <c r="T1610" s="4"/>
      <c r="V1610" s="4"/>
      <c r="W1610" s="4"/>
      <c r="X1610" s="5" t="s">
        <v>2220</v>
      </c>
      <c r="Y1610" s="5"/>
      <c r="Z1610" s="4"/>
      <c r="AA1610" s="4"/>
      <c r="AB1610" s="4"/>
      <c r="AE1610" s="4"/>
      <c r="AF1610" s="4"/>
      <c r="AG1610" s="3"/>
      <c r="AH1610" s="3"/>
      <c r="AI1610" s="3"/>
      <c r="AJ1610" s="3"/>
      <c r="AK1610" s="4"/>
      <c r="AL1610" s="4"/>
      <c r="AM1610" s="3"/>
      <c r="AN1610" s="4"/>
      <c r="AO1610" s="4"/>
      <c r="AP1610" s="4"/>
      <c r="AQ1610" s="4"/>
      <c r="AR1610" s="4"/>
      <c r="AS1610" s="4"/>
      <c r="AT1610" s="4"/>
      <c r="AU1610" s="4"/>
      <c r="AV1610" s="4"/>
      <c r="AW1610" s="3"/>
      <c r="AX1610" s="4"/>
      <c r="AY1610" s="3"/>
      <c r="AZ1610" s="3"/>
      <c r="BA1610" s="3"/>
      <c r="BB1610" s="4"/>
      <c r="BC1610" s="3"/>
      <c r="BD1610" s="3"/>
      <c r="BE1610" s="4"/>
      <c r="BF1610" s="4"/>
      <c r="BG1610" s="4"/>
      <c r="BH1610" s="4"/>
      <c r="BI1610" s="4"/>
      <c r="BJ1610" s="4"/>
      <c r="BK1610" s="4"/>
      <c r="BL1610" s="4"/>
      <c r="BM1610" s="4"/>
      <c r="BN1610" s="4"/>
      <c r="BO1610" s="4"/>
      <c r="BP1610" s="4"/>
      <c r="BQ1610" s="4"/>
      <c r="BR1610" s="4"/>
      <c r="BS1610" s="4"/>
      <c r="BT1610" s="4"/>
      <c r="BU1610" s="4"/>
      <c r="BV1610" s="4"/>
      <c r="BW1610" s="4"/>
      <c r="BX1610" s="4"/>
      <c r="BY1610" s="4"/>
      <c r="BZ1610" s="4"/>
      <c r="CA1610" s="4"/>
      <c r="CB1610" s="4"/>
      <c r="CC1610" s="4"/>
      <c r="CD1610" s="4"/>
      <c r="CE1610" s="4"/>
      <c r="CF1610" s="4"/>
      <c r="CG1610" s="4"/>
      <c r="CH1610" s="4"/>
      <c r="CI1610" s="4"/>
      <c r="CJ1610" s="4"/>
      <c r="CK1610" s="4"/>
      <c r="CL1610" s="4"/>
      <c r="CM1610" s="4"/>
      <c r="CN1610" s="4"/>
      <c r="CO1610" s="4"/>
      <c r="CP1610" s="4"/>
      <c r="CQ1610" s="4"/>
      <c r="CR1610" s="4"/>
      <c r="CS1610" s="3"/>
      <c r="CT1610" s="3"/>
      <c r="CU1610" s="4"/>
      <c r="CV1610" s="4"/>
      <c r="CW1610" s="4"/>
      <c r="CX1610" s="4"/>
      <c r="CY1610" s="4"/>
      <c r="CZ1610" s="4"/>
      <c r="DA1610" s="4"/>
      <c r="DB1610" s="4"/>
      <c r="DC1610" s="4"/>
      <c r="DD1610" s="4"/>
      <c r="DE1610" s="4"/>
      <c r="DF1610" s="4"/>
      <c r="DG1610" s="4"/>
      <c r="DH1610" s="4"/>
      <c r="DI1610" s="4"/>
      <c r="DJ1610" s="4"/>
      <c r="DK1610" s="4"/>
      <c r="DL1610" s="4"/>
      <c r="DM1610" s="4"/>
      <c r="DN1610" s="4"/>
      <c r="DO1610" s="4"/>
      <c r="DP1610" s="4"/>
      <c r="DQ1610" s="4"/>
      <c r="DR1610" s="4"/>
      <c r="DS1610" s="4"/>
      <c r="DT1610" s="4"/>
      <c r="DU1610" s="4"/>
      <c r="DV1610" s="4"/>
      <c r="DW1610" s="4"/>
      <c r="DX1610" s="4"/>
      <c r="DY1610" s="4"/>
      <c r="DZ1610" s="4"/>
      <c r="EA1610" s="4"/>
      <c r="EB1610" s="4"/>
      <c r="EC1610" s="4"/>
      <c r="ED1610" s="4"/>
      <c r="EE1610" s="4"/>
      <c r="EF1610" s="4"/>
    </row>
    <row r="1611" spans="1:147" hidden="1">
      <c r="A1611" s="11" t="s">
        <v>9940</v>
      </c>
      <c r="B1611" s="3" t="s">
        <v>8373</v>
      </c>
      <c r="C1611" s="3">
        <v>2011</v>
      </c>
      <c r="D1611" s="3" t="s">
        <v>9911</v>
      </c>
      <c r="E1611" s="3" t="s">
        <v>9912</v>
      </c>
      <c r="F1611" s="3">
        <v>1</v>
      </c>
      <c r="G1611" s="3"/>
      <c r="H1611" s="3" t="s">
        <v>9913</v>
      </c>
      <c r="I1611" s="3"/>
      <c r="J1611" s="3"/>
      <c r="K1611" s="3" t="s">
        <v>40</v>
      </c>
      <c r="L1611" s="4"/>
      <c r="M1611" s="3" t="s">
        <v>8500</v>
      </c>
      <c r="T1611" s="3" t="s">
        <v>6535</v>
      </c>
      <c r="V1611" s="3"/>
      <c r="W1611" s="3"/>
      <c r="X1611" s="5" t="s">
        <v>6538</v>
      </c>
      <c r="Y1611" s="5"/>
      <c r="Z1611" s="3">
        <v>0</v>
      </c>
      <c r="AA1611" s="3" t="s">
        <v>9178</v>
      </c>
      <c r="AB1611" s="4"/>
      <c r="AE1611" s="3"/>
      <c r="AF1611" s="4"/>
      <c r="AG1611" s="4"/>
      <c r="AH1611" s="4"/>
      <c r="AI1611" s="4"/>
      <c r="AJ1611" s="4"/>
      <c r="AK1611" s="3"/>
      <c r="AL1611" s="3"/>
      <c r="AM1611" s="3"/>
      <c r="AN1611" s="3"/>
      <c r="AO1611" s="4"/>
      <c r="AP1611" s="3"/>
      <c r="AQ1611" s="4"/>
      <c r="AR1611" s="3"/>
      <c r="AS1611" s="3"/>
      <c r="AT1611" s="4"/>
      <c r="AU1611" s="3"/>
      <c r="AV1611" s="4"/>
      <c r="AW1611" s="4"/>
      <c r="AX1611" s="4"/>
      <c r="AY1611" s="4"/>
      <c r="AZ1611" s="4"/>
      <c r="BA1611" s="4"/>
      <c r="BB1611" s="4"/>
      <c r="BC1611" s="4"/>
      <c r="BD1611" s="4"/>
      <c r="BE1611" s="4"/>
      <c r="BF1611" s="3"/>
      <c r="BG1611" s="3"/>
      <c r="BH1611" s="3"/>
      <c r="BI1611" s="4"/>
      <c r="BJ1611" s="3"/>
      <c r="BK1611" s="4"/>
      <c r="BL1611" s="4"/>
      <c r="BM1611" s="4"/>
      <c r="BN1611" s="3"/>
      <c r="BO1611" s="4"/>
      <c r="BP1611" s="4"/>
      <c r="BQ1611" s="4"/>
      <c r="BR1611" s="4"/>
      <c r="BS1611" s="4"/>
      <c r="BT1611" s="4"/>
      <c r="BU1611" s="4"/>
      <c r="BV1611" s="4"/>
      <c r="BW1611" s="4"/>
      <c r="BX1611" s="4"/>
      <c r="BY1611" s="4"/>
      <c r="BZ1611" s="4"/>
      <c r="CA1611" s="4"/>
      <c r="CB1611" s="4"/>
      <c r="CC1611" s="4"/>
      <c r="CD1611" s="4"/>
      <c r="CE1611" s="4"/>
      <c r="CF1611" s="4"/>
      <c r="CG1611" s="4"/>
      <c r="CH1611" s="4"/>
      <c r="CI1611" s="4"/>
      <c r="CJ1611" s="4"/>
      <c r="CK1611" s="4"/>
      <c r="CL1611" s="4"/>
      <c r="CM1611" s="4"/>
      <c r="CN1611" s="4"/>
      <c r="CO1611" s="4"/>
      <c r="CP1611" s="4"/>
      <c r="CQ1611" s="4"/>
      <c r="CR1611" s="4"/>
      <c r="CS1611" s="3"/>
      <c r="CT1611" s="3"/>
      <c r="CU1611" s="4"/>
      <c r="CV1611" s="4"/>
      <c r="CW1611" s="4"/>
      <c r="CX1611" s="4"/>
      <c r="CY1611" s="4"/>
      <c r="CZ1611" s="4"/>
      <c r="DA1611" s="4"/>
      <c r="DB1611" s="4"/>
      <c r="DC1611" s="4"/>
      <c r="DD1611" s="4"/>
      <c r="DE1611" s="4"/>
      <c r="DF1611" s="4"/>
      <c r="DG1611" s="4"/>
      <c r="DH1611" s="4"/>
      <c r="DI1611" s="4"/>
      <c r="DJ1611" s="4"/>
      <c r="DK1611" s="4"/>
      <c r="DL1611" s="4"/>
      <c r="DM1611" s="4"/>
      <c r="DN1611" s="4"/>
      <c r="DO1611" s="4"/>
      <c r="DP1611" s="4"/>
      <c r="DQ1611" s="4"/>
      <c r="DR1611" s="4"/>
      <c r="DS1611" s="4"/>
      <c r="DT1611" s="4"/>
      <c r="DU1611" s="4"/>
      <c r="DV1611" s="4"/>
      <c r="DW1611" s="4"/>
      <c r="DX1611" s="4"/>
      <c r="DY1611" s="4"/>
      <c r="DZ1611" s="4"/>
      <c r="EA1611" s="4"/>
      <c r="EB1611" s="4"/>
      <c r="EC1611" s="4"/>
      <c r="ED1611" s="4"/>
      <c r="EE1611" s="4"/>
      <c r="EF1611" s="4"/>
    </row>
    <row r="1612" spans="1:147" hidden="1">
      <c r="A1612" s="11" t="s">
        <v>9940</v>
      </c>
      <c r="B1612" s="3" t="s">
        <v>8379</v>
      </c>
      <c r="C1612" s="3">
        <v>2002</v>
      </c>
      <c r="D1612" s="3" t="s">
        <v>9196</v>
      </c>
      <c r="E1612" s="3" t="s">
        <v>9197</v>
      </c>
      <c r="F1612" s="3">
        <v>1</v>
      </c>
      <c r="G1612" s="4"/>
      <c r="H1612" s="3" t="s">
        <v>9199</v>
      </c>
      <c r="I1612" s="3"/>
      <c r="J1612" s="3"/>
      <c r="K1612" s="4"/>
      <c r="L1612" s="4"/>
      <c r="M1612" s="4"/>
      <c r="T1612" s="4"/>
      <c r="V1612" s="3"/>
      <c r="W1612" s="3"/>
      <c r="X1612" s="5" t="s">
        <v>9198</v>
      </c>
      <c r="Y1612" s="5"/>
      <c r="Z1612" s="3">
        <v>1</v>
      </c>
      <c r="AA1612" s="4"/>
      <c r="AB1612" s="4"/>
      <c r="AE1612" s="3"/>
      <c r="AF1612" s="3"/>
      <c r="AG1612" s="3"/>
      <c r="AH1612" s="4"/>
      <c r="AI1612" s="4"/>
      <c r="AJ1612" s="4"/>
      <c r="AK1612" s="3"/>
      <c r="AL1612" s="3"/>
      <c r="AM1612" s="3"/>
      <c r="AN1612" s="3"/>
      <c r="AO1612" s="4"/>
      <c r="AP1612" s="4"/>
      <c r="AQ1612" s="3"/>
      <c r="AR1612" s="4"/>
      <c r="AS1612" s="4"/>
      <c r="AT1612" s="4"/>
      <c r="AU1612" s="4"/>
      <c r="AV1612" s="4"/>
      <c r="AW1612" s="4"/>
      <c r="AX1612" s="4"/>
      <c r="AY1612" s="4"/>
      <c r="AZ1612" s="4"/>
      <c r="BA1612" s="3"/>
      <c r="BB1612" s="4"/>
      <c r="BC1612" s="3"/>
      <c r="BD1612" s="3"/>
      <c r="BE1612" s="3"/>
      <c r="BF1612" s="4"/>
      <c r="BG1612" s="3"/>
      <c r="BH1612" s="3"/>
      <c r="BI1612" s="4"/>
      <c r="BJ1612" s="4"/>
      <c r="BK1612" s="4"/>
      <c r="BL1612" s="4"/>
      <c r="BM1612" s="4"/>
      <c r="BN1612" s="4"/>
      <c r="BO1612" s="4"/>
      <c r="BP1612" s="4"/>
      <c r="BQ1612" s="4"/>
      <c r="BR1612" s="4"/>
      <c r="BS1612" s="4"/>
      <c r="BT1612" s="4"/>
      <c r="BU1612" s="4"/>
      <c r="BV1612" s="4"/>
      <c r="BW1612" s="4"/>
      <c r="BX1612" s="4"/>
      <c r="BY1612" s="4"/>
      <c r="BZ1612" s="4"/>
      <c r="CA1612" s="4"/>
      <c r="CB1612" s="4"/>
      <c r="CC1612" s="4"/>
      <c r="CD1612" s="4"/>
      <c r="CE1612" s="4"/>
      <c r="CF1612" s="4"/>
      <c r="CG1612" s="4"/>
      <c r="CH1612" s="4"/>
      <c r="CI1612" s="4"/>
      <c r="CJ1612" s="4"/>
      <c r="CK1612" s="4"/>
      <c r="CL1612" s="4"/>
      <c r="CM1612" s="4"/>
      <c r="CN1612" s="4"/>
      <c r="CO1612" s="4"/>
      <c r="CP1612" s="4"/>
      <c r="CQ1612" s="4"/>
      <c r="CR1612" s="4"/>
      <c r="CS1612" s="4"/>
      <c r="CT1612" s="4"/>
      <c r="CU1612" s="4"/>
      <c r="CV1612" s="4"/>
      <c r="CW1612" s="4"/>
      <c r="CX1612" s="4"/>
      <c r="CY1612" s="3"/>
      <c r="CZ1612" s="3"/>
      <c r="DA1612" s="3"/>
      <c r="DB1612" s="4"/>
      <c r="DC1612" s="4"/>
      <c r="DD1612" s="4"/>
      <c r="DE1612" s="4"/>
      <c r="DF1612" s="3"/>
      <c r="DG1612" s="3"/>
      <c r="DH1612" s="3"/>
      <c r="DI1612" s="3"/>
      <c r="DJ1612" s="4"/>
      <c r="DK1612" s="4"/>
      <c r="DL1612" s="4"/>
      <c r="DM1612" s="4"/>
      <c r="DN1612" s="8"/>
      <c r="DO1612" s="4"/>
      <c r="DP1612" s="4"/>
      <c r="DQ1612" s="4"/>
      <c r="DR1612" s="4"/>
      <c r="DS1612" s="4"/>
      <c r="DT1612" s="4"/>
      <c r="DU1612" s="4"/>
      <c r="DV1612" s="4"/>
      <c r="DW1612" s="4"/>
      <c r="DX1612" s="4"/>
      <c r="DY1612" s="4"/>
      <c r="DZ1612" s="4"/>
      <c r="EA1612" s="4"/>
      <c r="EB1612" s="4"/>
      <c r="EC1612" s="4"/>
      <c r="ED1612" s="3"/>
      <c r="EE1612" s="3"/>
      <c r="EF1612" s="3"/>
      <c r="EG1612" s="3"/>
      <c r="EH1612" s="3"/>
      <c r="EI1612" s="3"/>
      <c r="EJ1612" s="4"/>
      <c r="EK1612" s="4"/>
      <c r="EL1612" s="3"/>
    </row>
    <row r="1613" spans="1:147" hidden="1">
      <c r="A1613" s="11" t="s">
        <v>9940</v>
      </c>
      <c r="B1613" s="3" t="s">
        <v>8379</v>
      </c>
      <c r="C1613" s="3">
        <v>1995</v>
      </c>
      <c r="D1613" s="3" t="s">
        <v>9200</v>
      </c>
      <c r="E1613" s="3" t="s">
        <v>9201</v>
      </c>
      <c r="F1613" s="3">
        <v>1</v>
      </c>
      <c r="G1613" s="4"/>
      <c r="H1613" s="3" t="s">
        <v>9203</v>
      </c>
      <c r="I1613" s="3"/>
      <c r="J1613" s="3"/>
      <c r="K1613" s="4"/>
      <c r="L1613" s="4"/>
      <c r="M1613" s="4"/>
      <c r="T1613" s="4"/>
      <c r="V1613" s="3"/>
      <c r="W1613" s="4"/>
      <c r="X1613" s="5" t="s">
        <v>9202</v>
      </c>
      <c r="Y1613" s="5"/>
      <c r="Z1613" s="3">
        <v>1</v>
      </c>
      <c r="AA1613" s="4"/>
      <c r="AB1613" s="4"/>
      <c r="AE1613" s="3"/>
      <c r="AF1613" s="3"/>
      <c r="AG1613" s="3"/>
      <c r="AH1613" s="4"/>
      <c r="AI1613" s="4"/>
      <c r="AJ1613" s="4"/>
      <c r="AK1613" s="3"/>
      <c r="AL1613" s="3"/>
      <c r="AM1613" s="3"/>
      <c r="AN1613" s="3"/>
      <c r="AO1613" s="4"/>
      <c r="AP1613" s="4"/>
      <c r="AQ1613" s="3"/>
      <c r="AR1613" s="4"/>
      <c r="AS1613" s="4"/>
      <c r="AT1613" s="4"/>
      <c r="AU1613" s="4"/>
      <c r="AV1613" s="4"/>
      <c r="AW1613" s="4"/>
      <c r="AX1613" s="4"/>
      <c r="AY1613" s="4"/>
      <c r="AZ1613" s="4"/>
      <c r="BA1613" s="3"/>
      <c r="BB1613" s="4"/>
      <c r="BC1613" s="3"/>
      <c r="BD1613" s="3"/>
      <c r="BE1613" s="3"/>
      <c r="BF1613" s="4"/>
      <c r="BG1613" s="3"/>
      <c r="BH1613" s="3"/>
      <c r="BI1613" s="4"/>
      <c r="BJ1613" s="4"/>
      <c r="BK1613" s="4"/>
      <c r="BL1613" s="4"/>
      <c r="BM1613" s="4"/>
      <c r="BN1613" s="4"/>
      <c r="BO1613" s="4"/>
      <c r="BP1613" s="4"/>
      <c r="BQ1613" s="4"/>
      <c r="BR1613" s="4"/>
      <c r="BS1613" s="4"/>
      <c r="BT1613" s="4"/>
      <c r="BU1613" s="4"/>
      <c r="BV1613" s="4"/>
      <c r="BW1613" s="4"/>
      <c r="BX1613" s="4"/>
      <c r="BY1613" s="4"/>
      <c r="BZ1613" s="4"/>
      <c r="CA1613" s="4"/>
      <c r="CB1613" s="4"/>
      <c r="CC1613" s="4"/>
      <c r="CD1613" s="4"/>
      <c r="CE1613" s="4"/>
      <c r="CF1613" s="4"/>
      <c r="CG1613" s="4"/>
      <c r="CH1613" s="4"/>
      <c r="CI1613" s="4"/>
      <c r="CJ1613" s="4"/>
      <c r="CK1613" s="4"/>
      <c r="CL1613" s="4"/>
      <c r="CM1613" s="4"/>
      <c r="CN1613" s="4"/>
      <c r="CO1613" s="4"/>
      <c r="CP1613" s="4"/>
      <c r="CQ1613" s="4"/>
      <c r="CR1613" s="4"/>
      <c r="CS1613" s="4"/>
      <c r="CT1613" s="4"/>
      <c r="CU1613" s="4"/>
      <c r="CV1613" s="4"/>
      <c r="CW1613" s="4"/>
      <c r="CX1613" s="4"/>
      <c r="CY1613" s="4"/>
      <c r="CZ1613" s="3"/>
      <c r="DA1613" s="3"/>
      <c r="DB1613" s="3"/>
      <c r="DC1613" s="4"/>
      <c r="DD1613" s="4"/>
      <c r="DE1613" s="4"/>
      <c r="DF1613" s="4"/>
      <c r="DG1613" s="3"/>
      <c r="DH1613" s="3"/>
      <c r="DI1613" s="3"/>
      <c r="DJ1613" s="3"/>
      <c r="DK1613" s="4"/>
      <c r="DL1613" s="4"/>
      <c r="DM1613" s="4"/>
      <c r="DN1613" s="4"/>
      <c r="DO1613" s="8"/>
      <c r="DP1613" s="4"/>
      <c r="DQ1613" s="4"/>
      <c r="DR1613" s="4"/>
      <c r="DS1613" s="4"/>
      <c r="DT1613" s="4"/>
      <c r="DU1613" s="4"/>
      <c r="DV1613" s="4"/>
      <c r="DW1613" s="4"/>
      <c r="DX1613" s="4"/>
      <c r="DY1613" s="4"/>
      <c r="DZ1613" s="4"/>
      <c r="EA1613" s="4"/>
      <c r="EB1613" s="4"/>
      <c r="EC1613" s="4"/>
      <c r="ED1613" s="4"/>
      <c r="EE1613" s="3"/>
      <c r="EF1613" s="3"/>
      <c r="EG1613" s="3"/>
      <c r="EH1613" s="3"/>
      <c r="EI1613" s="3"/>
      <c r="EJ1613" s="3"/>
      <c r="EK1613" s="4"/>
      <c r="EL1613" s="4"/>
      <c r="EM1613" s="3"/>
    </row>
    <row r="1614" spans="1:147" hidden="1">
      <c r="A1614" s="11" t="s">
        <v>9940</v>
      </c>
      <c r="B1614" s="3" t="s">
        <v>8373</v>
      </c>
      <c r="C1614" s="3">
        <v>1980</v>
      </c>
      <c r="D1614" s="3" t="s">
        <v>9204</v>
      </c>
      <c r="E1614" s="3" t="s">
        <v>9205</v>
      </c>
      <c r="F1614" s="3">
        <v>1</v>
      </c>
      <c r="G1614" s="3"/>
      <c r="H1614" s="3" t="s">
        <v>9210</v>
      </c>
      <c r="I1614" s="3"/>
      <c r="J1614" s="3"/>
      <c r="K1614" s="3" t="s">
        <v>9206</v>
      </c>
      <c r="L1614" s="4"/>
      <c r="M1614" s="3" t="s">
        <v>9207</v>
      </c>
      <c r="T1614" s="3" t="s">
        <v>9208</v>
      </c>
      <c r="V1614" s="3"/>
      <c r="W1614" s="4"/>
      <c r="X1614" s="5" t="s">
        <v>9209</v>
      </c>
      <c r="Y1614" s="5"/>
      <c r="Z1614" s="3">
        <v>1</v>
      </c>
      <c r="AA1614" s="4"/>
      <c r="AB1614" s="4"/>
      <c r="AE1614" s="3"/>
      <c r="AF1614" s="3"/>
      <c r="AG1614" s="4"/>
      <c r="AH1614" s="4"/>
      <c r="AI1614" s="4"/>
      <c r="AJ1614" s="4"/>
      <c r="AK1614" s="3"/>
      <c r="AL1614" s="3"/>
      <c r="AM1614" s="3"/>
      <c r="AN1614" s="3"/>
      <c r="AO1614" s="4"/>
      <c r="AP1614" s="3"/>
      <c r="AQ1614" s="4"/>
      <c r="AR1614" s="3"/>
      <c r="AS1614" s="3"/>
      <c r="AT1614" s="4"/>
      <c r="AU1614" s="3"/>
      <c r="AV1614" s="4"/>
      <c r="AW1614" s="4"/>
      <c r="AX1614" s="4"/>
      <c r="AY1614" s="4"/>
      <c r="AZ1614" s="4"/>
      <c r="BA1614" s="4"/>
      <c r="BB1614" s="4"/>
      <c r="BC1614" s="4"/>
      <c r="BD1614" s="4"/>
      <c r="BE1614" s="4"/>
      <c r="BF1614" s="3"/>
      <c r="BG1614" s="3"/>
      <c r="BH1614" s="3"/>
      <c r="BI1614" s="4"/>
      <c r="BJ1614" s="3"/>
      <c r="BK1614" s="4"/>
      <c r="BL1614" s="4"/>
      <c r="BM1614" s="3"/>
      <c r="BN1614" s="4"/>
      <c r="BO1614" s="4"/>
      <c r="BP1614" s="4"/>
      <c r="BQ1614" s="4"/>
      <c r="BR1614" s="4"/>
      <c r="BS1614" s="4"/>
      <c r="BT1614" s="4"/>
      <c r="BU1614" s="4"/>
      <c r="BV1614" s="4"/>
      <c r="BW1614" s="4"/>
      <c r="BX1614" s="4"/>
      <c r="BY1614" s="4"/>
      <c r="BZ1614" s="4"/>
      <c r="CA1614" s="4"/>
      <c r="CB1614" s="4"/>
      <c r="CC1614" s="4"/>
      <c r="CD1614" s="4"/>
      <c r="CE1614" s="4"/>
      <c r="CF1614" s="4"/>
      <c r="CG1614" s="4"/>
      <c r="CH1614" s="4"/>
      <c r="CI1614" s="4"/>
      <c r="CJ1614" s="4"/>
      <c r="CK1614" s="4"/>
      <c r="CL1614" s="4"/>
      <c r="CM1614" s="4"/>
      <c r="CN1614" s="4"/>
      <c r="CO1614" s="4"/>
      <c r="CP1614" s="4"/>
      <c r="CQ1614" s="4"/>
      <c r="CR1614" s="4"/>
      <c r="CS1614" s="4"/>
      <c r="CT1614" s="4"/>
      <c r="CU1614" s="4"/>
      <c r="CV1614" s="3"/>
      <c r="CW1614" s="3"/>
      <c r="CX1614" s="8"/>
      <c r="CY1614" s="4"/>
      <c r="CZ1614" s="4"/>
      <c r="DA1614" s="4"/>
      <c r="DB1614" s="4"/>
      <c r="DC1614" s="8"/>
      <c r="DD1614" s="8"/>
      <c r="DE1614" s="8"/>
      <c r="DF1614" s="8"/>
      <c r="DG1614" s="4"/>
      <c r="DH1614" s="4"/>
      <c r="DI1614" s="4"/>
      <c r="DJ1614" s="4"/>
      <c r="DK1614" s="4"/>
      <c r="DL1614" s="4"/>
      <c r="DM1614" s="4"/>
      <c r="DN1614" s="4"/>
      <c r="DO1614" s="4"/>
      <c r="DP1614" s="4"/>
      <c r="DQ1614" s="4"/>
      <c r="DR1614" s="4"/>
      <c r="DS1614" s="4"/>
      <c r="DT1614" s="4"/>
      <c r="DU1614" s="4"/>
      <c r="DV1614" s="4"/>
      <c r="DW1614" s="4"/>
      <c r="DX1614" s="4"/>
      <c r="DY1614" s="4"/>
      <c r="DZ1614" s="4"/>
      <c r="EA1614" s="8"/>
      <c r="EB1614" s="8"/>
      <c r="EC1614" s="8"/>
      <c r="ED1614" s="8"/>
      <c r="EE1614" s="8"/>
      <c r="EF1614" s="8"/>
      <c r="EG1614" s="4"/>
      <c r="EH1614" s="4"/>
      <c r="EI1614" s="4"/>
    </row>
    <row r="1615" spans="1:147" hidden="1">
      <c r="A1615" s="11" t="s">
        <v>9940</v>
      </c>
      <c r="B1615" s="3" t="s">
        <v>8373</v>
      </c>
      <c r="C1615" s="3">
        <v>1988</v>
      </c>
      <c r="D1615" s="3" t="s">
        <v>9914</v>
      </c>
      <c r="E1615" s="3" t="s">
        <v>9915</v>
      </c>
      <c r="F1615" s="3">
        <v>1</v>
      </c>
      <c r="G1615" s="3"/>
      <c r="H1615" s="3" t="s">
        <v>9918</v>
      </c>
      <c r="I1615" s="3"/>
      <c r="J1615" s="3"/>
      <c r="K1615" s="3" t="s">
        <v>5824</v>
      </c>
      <c r="L1615" s="4"/>
      <c r="M1615" s="3" t="s">
        <v>9580</v>
      </c>
      <c r="T1615" s="3" t="s">
        <v>9916</v>
      </c>
      <c r="V1615" s="3"/>
      <c r="W1615" s="3"/>
      <c r="X1615" s="5" t="s">
        <v>9917</v>
      </c>
      <c r="Y1615" s="5"/>
      <c r="Z1615" s="3">
        <v>0</v>
      </c>
      <c r="AA1615" s="3" t="s">
        <v>9178</v>
      </c>
      <c r="AB1615" s="4"/>
      <c r="AE1615" s="3"/>
      <c r="AF1615" s="4"/>
      <c r="AG1615" s="4"/>
      <c r="AH1615" s="4"/>
      <c r="AI1615" s="4"/>
      <c r="AJ1615" s="4"/>
      <c r="AK1615" s="3"/>
      <c r="AL1615" s="3"/>
      <c r="AM1615" s="3"/>
      <c r="AN1615" s="3"/>
      <c r="AO1615" s="4"/>
      <c r="AP1615" s="3"/>
      <c r="AQ1615" s="4"/>
      <c r="AR1615" s="3"/>
      <c r="AS1615" s="3"/>
      <c r="AT1615" s="4"/>
      <c r="AU1615" s="3"/>
      <c r="AV1615" s="4"/>
      <c r="AW1615" s="4"/>
      <c r="AX1615" s="4"/>
      <c r="AY1615" s="4"/>
      <c r="AZ1615" s="4"/>
      <c r="BA1615" s="4"/>
      <c r="BB1615" s="4"/>
      <c r="BC1615" s="4"/>
      <c r="BD1615" s="4"/>
      <c r="BE1615" s="4"/>
      <c r="BF1615" s="3"/>
      <c r="BG1615" s="3"/>
      <c r="BH1615" s="3"/>
      <c r="BI1615" s="4"/>
      <c r="BJ1615" s="3"/>
      <c r="BK1615" s="4"/>
      <c r="BL1615" s="4"/>
      <c r="BM1615" s="3"/>
      <c r="BN1615" s="4"/>
      <c r="BO1615" s="4"/>
      <c r="BP1615" s="4"/>
      <c r="BQ1615" s="4"/>
      <c r="BR1615" s="4"/>
      <c r="BS1615" s="4"/>
      <c r="BT1615" s="4"/>
      <c r="BU1615" s="4"/>
      <c r="BV1615" s="4"/>
      <c r="BW1615" s="4"/>
      <c r="BX1615" s="4"/>
      <c r="BY1615" s="4"/>
      <c r="BZ1615" s="4"/>
      <c r="CA1615" s="4"/>
      <c r="CB1615" s="4"/>
      <c r="CC1615" s="4"/>
      <c r="CD1615" s="4"/>
      <c r="CE1615" s="4"/>
      <c r="CF1615" s="4"/>
      <c r="CG1615" s="4"/>
      <c r="CH1615" s="4"/>
      <c r="CI1615" s="4"/>
      <c r="CJ1615" s="4"/>
      <c r="CK1615" s="4"/>
      <c r="CL1615" s="4"/>
      <c r="CM1615" s="4"/>
      <c r="CN1615" s="4"/>
      <c r="CO1615" s="4"/>
      <c r="CP1615" s="3"/>
      <c r="CQ1615" s="3"/>
      <c r="CR1615" s="4"/>
      <c r="CS1615" s="4"/>
      <c r="CT1615" s="4"/>
      <c r="CU1615" s="4"/>
      <c r="CV1615" s="4"/>
      <c r="CW1615" s="4"/>
      <c r="CX1615" s="4"/>
      <c r="CY1615" s="4"/>
      <c r="CZ1615" s="4"/>
      <c r="DA1615" s="4"/>
      <c r="DB1615" s="4"/>
      <c r="DC1615" s="4"/>
      <c r="DD1615" s="4"/>
      <c r="DE1615" s="4"/>
      <c r="DF1615" s="4"/>
      <c r="DG1615" s="4"/>
      <c r="DH1615" s="4"/>
      <c r="DI1615" s="4"/>
      <c r="DJ1615" s="4"/>
      <c r="DK1615" s="4"/>
      <c r="DL1615" s="4"/>
      <c r="DM1615" s="4"/>
      <c r="DN1615" s="4"/>
      <c r="DO1615" s="4"/>
      <c r="DP1615" s="4"/>
      <c r="DQ1615" s="4"/>
      <c r="DR1615" s="4"/>
      <c r="DS1615" s="4"/>
      <c r="DT1615" s="4"/>
      <c r="DU1615" s="4"/>
      <c r="DV1615" s="4"/>
      <c r="DW1615" s="4"/>
      <c r="DX1615" s="4"/>
      <c r="DY1615" s="4"/>
      <c r="DZ1615" s="4"/>
      <c r="EA1615" s="4"/>
      <c r="EB1615" s="4"/>
      <c r="EC1615" s="4"/>
    </row>
    <row r="1616" spans="1:147" hidden="1">
      <c r="A1616" s="11" t="s">
        <v>9940</v>
      </c>
      <c r="B1616" s="3" t="s">
        <v>8373</v>
      </c>
      <c r="C1616" s="3">
        <v>1989</v>
      </c>
      <c r="D1616" s="3" t="s">
        <v>9919</v>
      </c>
      <c r="E1616" s="3" t="s">
        <v>9920</v>
      </c>
      <c r="F1616" s="3">
        <v>0</v>
      </c>
      <c r="G1616" s="3" t="s">
        <v>9237</v>
      </c>
      <c r="H1616" s="3" t="s">
        <v>9923</v>
      </c>
      <c r="I1616" s="3"/>
      <c r="J1616" s="3"/>
      <c r="K1616" s="3" t="s">
        <v>93</v>
      </c>
      <c r="L1616" s="4"/>
      <c r="M1616" s="3" t="s">
        <v>8511</v>
      </c>
      <c r="T1616" s="3" t="s">
        <v>9921</v>
      </c>
      <c r="V1616" s="4"/>
      <c r="W1616" s="4"/>
      <c r="X1616" s="5" t="s">
        <v>9922</v>
      </c>
      <c r="Y1616" s="5"/>
      <c r="Z1616" s="4"/>
      <c r="AA1616" s="4"/>
      <c r="AB1616" s="4"/>
      <c r="AE1616" s="4"/>
      <c r="AF1616" s="4"/>
      <c r="AG1616" s="3"/>
      <c r="AH1616" s="3"/>
      <c r="AI1616" s="3"/>
      <c r="AJ1616" s="3"/>
      <c r="AK1616" s="4"/>
      <c r="AL1616" s="3"/>
      <c r="AM1616" s="4"/>
      <c r="AN1616" s="3"/>
      <c r="AO1616" s="3"/>
      <c r="AP1616" s="4"/>
      <c r="AQ1616" s="3"/>
      <c r="AR1616" s="4"/>
      <c r="AS1616" s="4"/>
      <c r="AT1616" s="4"/>
      <c r="AU1616" s="4"/>
      <c r="AV1616" s="4"/>
      <c r="AW1616" s="4"/>
      <c r="AX1616" s="4"/>
      <c r="AY1616" s="4"/>
      <c r="AZ1616" s="4"/>
      <c r="BA1616" s="4"/>
      <c r="BB1616" s="3"/>
      <c r="BC1616" s="3"/>
      <c r="BD1616" s="3"/>
      <c r="BE1616" s="4"/>
      <c r="BF1616" s="3"/>
      <c r="BG1616" s="4"/>
      <c r="BH1616" s="4"/>
      <c r="BI1616" s="3"/>
      <c r="BJ1616" s="4"/>
      <c r="BK1616" s="4"/>
      <c r="BL1616" s="4"/>
      <c r="BM1616" s="4"/>
      <c r="BN1616" s="4"/>
      <c r="BO1616" s="4"/>
      <c r="BP1616" s="4"/>
      <c r="BQ1616" s="4"/>
      <c r="BR1616" s="4"/>
      <c r="BS1616" s="4"/>
      <c r="BT1616" s="4"/>
      <c r="BU1616" s="4"/>
      <c r="BV1616" s="4"/>
      <c r="BW1616" s="4"/>
      <c r="BX1616" s="4"/>
      <c r="BY1616" s="4"/>
      <c r="BZ1616" s="4"/>
      <c r="CA1616" s="4"/>
      <c r="CB1616" s="4"/>
      <c r="CC1616" s="4"/>
      <c r="CD1616" s="4"/>
      <c r="CE1616" s="4"/>
      <c r="CF1616" s="4"/>
      <c r="CG1616" s="4"/>
      <c r="CH1616" s="4"/>
      <c r="CI1616" s="4"/>
      <c r="CJ1616" s="4"/>
      <c r="CK1616" s="4"/>
      <c r="CL1616" s="3"/>
      <c r="CM1616" s="3"/>
      <c r="CN1616" s="4"/>
      <c r="CO1616" s="4"/>
      <c r="CP1616" s="4"/>
      <c r="CQ1616" s="4"/>
      <c r="CR1616" s="4"/>
      <c r="CS1616" s="4"/>
      <c r="CT1616" s="4"/>
      <c r="CU1616" s="4"/>
      <c r="CV1616" s="4"/>
      <c r="CW1616" s="4"/>
      <c r="CX1616" s="4"/>
      <c r="CY1616" s="4"/>
      <c r="CZ1616" s="4"/>
      <c r="DA1616" s="4"/>
      <c r="DB1616" s="4"/>
      <c r="DC1616" s="4"/>
      <c r="DD1616" s="4"/>
      <c r="DE1616" s="4"/>
      <c r="DF1616" s="4"/>
      <c r="DG1616" s="4"/>
      <c r="DH1616" s="4"/>
      <c r="DI1616" s="4"/>
      <c r="DJ1616" s="4"/>
      <c r="DK1616" s="4"/>
      <c r="DL1616" s="4"/>
      <c r="DM1616" s="4"/>
      <c r="DN1616" s="4"/>
      <c r="DO1616" s="4"/>
      <c r="DP1616" s="4"/>
      <c r="DQ1616" s="4"/>
      <c r="DR1616" s="4"/>
      <c r="DS1616" s="4"/>
      <c r="DT1616" s="4"/>
      <c r="DU1616" s="4"/>
      <c r="DV1616" s="4"/>
      <c r="DW1616" s="4"/>
      <c r="DX1616" s="4"/>
      <c r="DY1616" s="4"/>
    </row>
    <row r="1617" spans="1:146" hidden="1">
      <c r="A1617" s="11" t="s">
        <v>9940</v>
      </c>
      <c r="B1617" s="3" t="s">
        <v>8379</v>
      </c>
      <c r="C1617" s="3">
        <v>2000</v>
      </c>
      <c r="D1617" s="3" t="s">
        <v>9211</v>
      </c>
      <c r="E1617" s="3" t="s">
        <v>9212</v>
      </c>
      <c r="F1617" s="3">
        <v>1</v>
      </c>
      <c r="G1617" s="4"/>
      <c r="H1617" s="3" t="s">
        <v>9214</v>
      </c>
      <c r="I1617" s="3"/>
      <c r="J1617" s="3"/>
      <c r="K1617" s="4"/>
      <c r="L1617" s="4"/>
      <c r="M1617" s="4"/>
      <c r="T1617" s="4"/>
      <c r="V1617" s="3"/>
      <c r="W1617" s="3"/>
      <c r="X1617" s="5" t="s">
        <v>9213</v>
      </c>
      <c r="Y1617" s="5"/>
      <c r="Z1617" s="3">
        <v>1</v>
      </c>
      <c r="AA1617" s="4"/>
      <c r="AB1617" s="4"/>
      <c r="AE1617" s="3"/>
      <c r="AF1617" s="3"/>
      <c r="AG1617" s="3"/>
      <c r="AH1617" s="4"/>
      <c r="AI1617" s="4"/>
      <c r="AJ1617" s="4"/>
      <c r="AK1617" s="3"/>
      <c r="AL1617" s="3"/>
      <c r="AM1617" s="3"/>
      <c r="AN1617" s="3"/>
      <c r="AO1617" s="4"/>
      <c r="AP1617" s="4"/>
      <c r="AQ1617" s="3"/>
      <c r="AR1617" s="4"/>
      <c r="AS1617" s="4"/>
      <c r="AT1617" s="4"/>
      <c r="AU1617" s="4"/>
      <c r="AV1617" s="4"/>
      <c r="AW1617" s="4"/>
      <c r="AX1617" s="4"/>
      <c r="AY1617" s="4"/>
      <c r="AZ1617" s="4"/>
      <c r="BA1617" s="3"/>
      <c r="BB1617" s="4"/>
      <c r="BC1617" s="3"/>
      <c r="BD1617" s="3"/>
      <c r="BE1617" s="3"/>
      <c r="BF1617" s="4"/>
      <c r="BG1617" s="3"/>
      <c r="BH1617" s="3"/>
      <c r="BI1617" s="4"/>
      <c r="BJ1617" s="4"/>
      <c r="BK1617" s="4"/>
      <c r="BL1617" s="4"/>
      <c r="BM1617" s="4"/>
      <c r="BN1617" s="4"/>
      <c r="BO1617" s="4"/>
      <c r="BP1617" s="4"/>
      <c r="BQ1617" s="4"/>
      <c r="BR1617" s="4"/>
      <c r="BS1617" s="4"/>
      <c r="BT1617" s="4"/>
      <c r="BU1617" s="4"/>
      <c r="BV1617" s="4"/>
      <c r="BW1617" s="4"/>
      <c r="BX1617" s="4"/>
      <c r="BY1617" s="4"/>
      <c r="BZ1617" s="4"/>
      <c r="CA1617" s="4"/>
      <c r="CB1617" s="4"/>
      <c r="CC1617" s="4"/>
      <c r="CD1617" s="4"/>
      <c r="CE1617" s="4"/>
      <c r="CF1617" s="4"/>
      <c r="CG1617" s="4"/>
      <c r="CH1617" s="4"/>
      <c r="CI1617" s="4"/>
      <c r="CJ1617" s="4"/>
      <c r="CK1617" s="4"/>
      <c r="CL1617" s="4"/>
      <c r="CM1617" s="4"/>
      <c r="CN1617" s="4"/>
      <c r="CO1617" s="4"/>
      <c r="CP1617" s="4"/>
      <c r="CQ1617" s="4"/>
      <c r="CR1617" s="4"/>
      <c r="CS1617" s="4"/>
      <c r="CT1617" s="4"/>
      <c r="CU1617" s="4"/>
      <c r="CV1617" s="3"/>
      <c r="CW1617" s="3"/>
      <c r="CX1617" s="3"/>
      <c r="CY1617" s="4"/>
      <c r="CZ1617" s="4"/>
      <c r="DA1617" s="4"/>
      <c r="DB1617" s="4"/>
      <c r="DC1617" s="3"/>
      <c r="DD1617" s="3"/>
      <c r="DE1617" s="3"/>
      <c r="DF1617" s="3"/>
      <c r="DG1617" s="4"/>
      <c r="DH1617" s="4"/>
      <c r="DI1617" s="4"/>
      <c r="DJ1617" s="4"/>
      <c r="DK1617" s="8"/>
      <c r="DL1617" s="4"/>
      <c r="DM1617" s="4"/>
      <c r="DN1617" s="4"/>
      <c r="DO1617" s="4"/>
      <c r="DP1617" s="4"/>
      <c r="DQ1617" s="4"/>
      <c r="DR1617" s="4"/>
      <c r="DS1617" s="4"/>
      <c r="DT1617" s="4"/>
      <c r="DU1617" s="4"/>
      <c r="DV1617" s="4"/>
      <c r="DW1617" s="4"/>
      <c r="DX1617" s="4"/>
      <c r="DY1617" s="4"/>
      <c r="DZ1617" s="4"/>
      <c r="EA1617" s="3"/>
      <c r="EB1617" s="3"/>
      <c r="EC1617" s="3"/>
      <c r="ED1617" s="3"/>
      <c r="EE1617" s="3"/>
      <c r="EF1617" s="3"/>
      <c r="EG1617" s="4"/>
      <c r="EH1617" s="4"/>
      <c r="EI1617" s="3"/>
    </row>
    <row r="1618" spans="1:146" hidden="1">
      <c r="A1618" s="11" t="s">
        <v>9940</v>
      </c>
      <c r="B1618" s="3" t="s">
        <v>8373</v>
      </c>
      <c r="C1618" s="3">
        <v>1986</v>
      </c>
      <c r="D1618" s="3" t="s">
        <v>9215</v>
      </c>
      <c r="E1618" s="3" t="s">
        <v>9216</v>
      </c>
      <c r="F1618" s="3">
        <v>1</v>
      </c>
      <c r="G1618" s="3"/>
      <c r="H1618" s="3" t="s">
        <v>9219</v>
      </c>
      <c r="I1618" s="3"/>
      <c r="J1618" s="3"/>
      <c r="K1618" s="3" t="s">
        <v>802</v>
      </c>
      <c r="L1618" s="4"/>
      <c r="M1618" s="3" t="s">
        <v>8791</v>
      </c>
      <c r="T1618" s="3" t="s">
        <v>9217</v>
      </c>
      <c r="V1618" s="3"/>
      <c r="W1618" s="3"/>
      <c r="X1618" s="5" t="s">
        <v>9218</v>
      </c>
      <c r="Y1618" s="5"/>
      <c r="Z1618" s="3">
        <v>1</v>
      </c>
      <c r="AA1618" s="4"/>
      <c r="AB1618" s="4"/>
      <c r="AE1618" s="3"/>
      <c r="AF1618" s="3"/>
      <c r="AG1618" s="4"/>
      <c r="AH1618" s="4"/>
      <c r="AI1618" s="4"/>
      <c r="AJ1618" s="4"/>
      <c r="AK1618" s="3"/>
      <c r="AL1618" s="3"/>
      <c r="AM1618" s="3"/>
      <c r="AN1618" s="3"/>
      <c r="AO1618" s="4"/>
      <c r="AP1618" s="3"/>
      <c r="AQ1618" s="4"/>
      <c r="AR1618" s="3"/>
      <c r="AS1618" s="3"/>
      <c r="AT1618" s="4"/>
      <c r="AU1618" s="3"/>
      <c r="AV1618" s="4"/>
      <c r="AW1618" s="4"/>
      <c r="AX1618" s="4"/>
      <c r="AY1618" s="4"/>
      <c r="AZ1618" s="4"/>
      <c r="BA1618" s="4"/>
      <c r="BB1618" s="4"/>
      <c r="BC1618" s="4"/>
      <c r="BD1618" s="4"/>
      <c r="BE1618" s="4"/>
      <c r="BF1618" s="3"/>
      <c r="BG1618" s="3"/>
      <c r="BH1618" s="3"/>
      <c r="BI1618" s="4"/>
      <c r="BJ1618" s="3"/>
      <c r="BK1618" s="4"/>
      <c r="BL1618" s="4"/>
      <c r="BM1618" s="3"/>
      <c r="BN1618" s="4"/>
      <c r="BO1618" s="4"/>
      <c r="BP1618" s="4"/>
      <c r="BQ1618" s="4"/>
      <c r="BR1618" s="4"/>
      <c r="BS1618" s="4"/>
      <c r="BT1618" s="4"/>
      <c r="BU1618" s="4"/>
      <c r="BV1618" s="4"/>
      <c r="BW1618" s="4"/>
      <c r="BX1618" s="4"/>
      <c r="BY1618" s="4"/>
      <c r="BZ1618" s="4"/>
      <c r="CA1618" s="4"/>
      <c r="CB1618" s="4"/>
      <c r="CC1618" s="4"/>
      <c r="CD1618" s="4"/>
      <c r="CE1618" s="4"/>
      <c r="CF1618" s="4"/>
      <c r="CG1618" s="4"/>
      <c r="CH1618" s="4"/>
      <c r="CI1618" s="4"/>
      <c r="CJ1618" s="4"/>
      <c r="CK1618" s="4"/>
      <c r="CL1618" s="4"/>
      <c r="CM1618" s="4"/>
      <c r="CN1618" s="4"/>
      <c r="CO1618" s="4"/>
      <c r="CP1618" s="4"/>
      <c r="CQ1618" s="4"/>
      <c r="CR1618" s="4"/>
      <c r="CS1618" s="4"/>
      <c r="CT1618" s="4"/>
      <c r="CU1618" s="4"/>
      <c r="CV1618" s="4"/>
      <c r="CW1618" s="4"/>
      <c r="CX1618" s="4"/>
      <c r="CY1618" s="4"/>
      <c r="CZ1618" s="4"/>
      <c r="DA1618" s="3"/>
      <c r="DB1618" s="3"/>
      <c r="DC1618" s="8"/>
      <c r="DD1618" s="4"/>
      <c r="DE1618" s="4"/>
      <c r="DF1618" s="4"/>
      <c r="DG1618" s="4"/>
      <c r="DH1618" s="8"/>
      <c r="DI1618" s="8"/>
      <c r="DJ1618" s="8"/>
      <c r="DK1618" s="8"/>
      <c r="DL1618" s="4"/>
      <c r="DM1618" s="4"/>
      <c r="DN1618" s="4"/>
      <c r="DO1618" s="4"/>
      <c r="DP1618" s="8"/>
      <c r="DQ1618" s="4"/>
      <c r="DR1618" s="4"/>
      <c r="DS1618" s="4"/>
      <c r="DT1618" s="4"/>
      <c r="DU1618" s="4"/>
      <c r="DV1618" s="4"/>
      <c r="DW1618" s="4"/>
      <c r="DX1618" s="4"/>
      <c r="DY1618" s="4"/>
      <c r="DZ1618" s="4"/>
      <c r="EA1618" s="4"/>
      <c r="EB1618" s="4"/>
      <c r="EC1618" s="4"/>
      <c r="ED1618" s="4"/>
      <c r="EE1618" s="4"/>
      <c r="EF1618" s="8"/>
      <c r="EG1618" s="8"/>
      <c r="EH1618" s="8"/>
      <c r="EI1618" s="8"/>
      <c r="EJ1618" s="8"/>
      <c r="EK1618" s="8"/>
      <c r="EL1618" s="4"/>
      <c r="EM1618" s="4"/>
      <c r="EN1618" s="4"/>
    </row>
    <row r="1619" spans="1:146" hidden="1">
      <c r="A1619" s="11" t="s">
        <v>9940</v>
      </c>
      <c r="B1619" s="3" t="s">
        <v>8373</v>
      </c>
      <c r="C1619" s="3">
        <v>1976</v>
      </c>
      <c r="D1619" s="3" t="s">
        <v>9220</v>
      </c>
      <c r="E1619" s="3" t="s">
        <v>9221</v>
      </c>
      <c r="F1619" s="3">
        <v>1</v>
      </c>
      <c r="G1619" s="3"/>
      <c r="H1619" s="3" t="s">
        <v>9225</v>
      </c>
      <c r="I1619" s="3"/>
      <c r="J1619" s="3"/>
      <c r="K1619" s="3" t="s">
        <v>2163</v>
      </c>
      <c r="L1619" s="4"/>
      <c r="M1619" s="3" t="s">
        <v>9222</v>
      </c>
      <c r="T1619" s="3" t="s">
        <v>9223</v>
      </c>
      <c r="V1619" s="3"/>
      <c r="W1619" s="4"/>
      <c r="X1619" s="5" t="s">
        <v>9224</v>
      </c>
      <c r="Y1619" s="5"/>
      <c r="Z1619" s="3">
        <v>1</v>
      </c>
      <c r="AA1619" s="4"/>
      <c r="AB1619" s="4"/>
      <c r="AE1619" s="3"/>
      <c r="AF1619" s="3"/>
      <c r="AG1619" s="4"/>
      <c r="AH1619" s="4"/>
      <c r="AI1619" s="4"/>
      <c r="AJ1619" s="4"/>
      <c r="AK1619" s="3"/>
      <c r="AL1619" s="3"/>
      <c r="AM1619" s="3"/>
      <c r="AN1619" s="3"/>
      <c r="AO1619" s="4"/>
      <c r="AP1619" s="3"/>
      <c r="AQ1619" s="4"/>
      <c r="AR1619" s="3"/>
      <c r="AS1619" s="3"/>
      <c r="AT1619" s="4"/>
      <c r="AU1619" s="3"/>
      <c r="AV1619" s="4"/>
      <c r="AW1619" s="4"/>
      <c r="AX1619" s="4"/>
      <c r="AY1619" s="4"/>
      <c r="AZ1619" s="4"/>
      <c r="BA1619" s="4"/>
      <c r="BB1619" s="4"/>
      <c r="BC1619" s="4"/>
      <c r="BD1619" s="4"/>
      <c r="BE1619" s="4"/>
      <c r="BF1619" s="3"/>
      <c r="BG1619" s="3"/>
      <c r="BH1619" s="3"/>
      <c r="BI1619" s="4"/>
      <c r="BJ1619" s="3"/>
      <c r="BK1619" s="4"/>
      <c r="BL1619" s="4"/>
      <c r="BM1619" s="3"/>
      <c r="BN1619" s="4"/>
      <c r="BO1619" s="4"/>
      <c r="BP1619" s="4"/>
      <c r="BQ1619" s="4"/>
      <c r="BR1619" s="4"/>
      <c r="BS1619" s="4"/>
      <c r="BT1619" s="4"/>
      <c r="BU1619" s="4"/>
      <c r="BV1619" s="4"/>
      <c r="BW1619" s="4"/>
      <c r="BX1619" s="4"/>
      <c r="BY1619" s="4"/>
      <c r="BZ1619" s="4"/>
      <c r="CA1619" s="4"/>
      <c r="CB1619" s="4"/>
      <c r="CC1619" s="4"/>
      <c r="CD1619" s="4"/>
      <c r="CE1619" s="4"/>
      <c r="CF1619" s="4"/>
      <c r="CG1619" s="4"/>
      <c r="CH1619" s="4"/>
      <c r="CI1619" s="4"/>
      <c r="CJ1619" s="4"/>
      <c r="CK1619" s="4"/>
      <c r="CL1619" s="4"/>
      <c r="CM1619" s="3"/>
      <c r="CN1619" s="3"/>
      <c r="CO1619" s="8"/>
      <c r="CP1619" s="4"/>
      <c r="CQ1619" s="4"/>
      <c r="CR1619" s="4"/>
      <c r="CS1619" s="4"/>
      <c r="CT1619" s="8"/>
      <c r="CU1619" s="8"/>
      <c r="CV1619" s="8"/>
      <c r="CW1619" s="8"/>
      <c r="CX1619" s="4"/>
      <c r="CY1619" s="4"/>
      <c r="CZ1619" s="4"/>
      <c r="DA1619" s="4"/>
      <c r="DB1619" s="4"/>
      <c r="DC1619" s="4"/>
      <c r="DD1619" s="4"/>
      <c r="DE1619" s="4"/>
      <c r="DF1619" s="4"/>
      <c r="DG1619" s="4"/>
      <c r="DH1619" s="4"/>
      <c r="DI1619" s="4"/>
      <c r="DJ1619" s="4"/>
      <c r="DK1619" s="4"/>
      <c r="DL1619" s="4"/>
      <c r="DM1619" s="4"/>
      <c r="DN1619" s="4"/>
      <c r="DO1619" s="4"/>
      <c r="DP1619" s="4"/>
      <c r="DQ1619" s="4"/>
      <c r="DR1619" s="8"/>
      <c r="DS1619" s="8"/>
      <c r="DT1619" s="8"/>
      <c r="DU1619" s="8"/>
      <c r="DV1619" s="8"/>
      <c r="DW1619" s="8"/>
      <c r="DX1619" s="4"/>
      <c r="DY1619" s="4"/>
      <c r="DZ1619" s="4"/>
    </row>
    <row r="1620" spans="1:146" hidden="1">
      <c r="A1620" s="11" t="s">
        <v>9940</v>
      </c>
      <c r="B1620" s="3" t="s">
        <v>8379</v>
      </c>
      <c r="C1620" s="3">
        <v>1997</v>
      </c>
      <c r="D1620" s="3" t="s">
        <v>9226</v>
      </c>
      <c r="E1620" s="3" t="s">
        <v>9227</v>
      </c>
      <c r="F1620" s="3">
        <v>1</v>
      </c>
      <c r="G1620" s="4"/>
      <c r="H1620" s="3" t="s">
        <v>9229</v>
      </c>
      <c r="I1620" s="3"/>
      <c r="J1620" s="3"/>
      <c r="K1620" s="4"/>
      <c r="L1620" s="4"/>
      <c r="M1620" s="4"/>
      <c r="S1620" s="4"/>
      <c r="V1620" s="3"/>
      <c r="W1620" s="4"/>
      <c r="X1620" s="5" t="s">
        <v>9228</v>
      </c>
      <c r="Y1620" s="5"/>
      <c r="Z1620" s="3">
        <v>1</v>
      </c>
      <c r="AA1620" s="4"/>
      <c r="AB1620" s="4"/>
      <c r="AE1620" s="3"/>
      <c r="AF1620" s="3"/>
      <c r="AG1620" s="3"/>
      <c r="AH1620" s="4"/>
      <c r="AI1620" s="4"/>
      <c r="AJ1620" s="4"/>
      <c r="AK1620" s="3"/>
      <c r="AL1620" s="3"/>
      <c r="AM1620" s="3"/>
      <c r="AN1620" s="3"/>
      <c r="AO1620" s="4"/>
      <c r="AP1620" s="4"/>
      <c r="AQ1620" s="3"/>
      <c r="AR1620" s="4"/>
      <c r="AS1620" s="4"/>
      <c r="AT1620" s="4"/>
      <c r="AU1620" s="4"/>
      <c r="AV1620" s="4"/>
      <c r="AW1620" s="4"/>
      <c r="AX1620" s="4"/>
      <c r="AY1620" s="4"/>
      <c r="AZ1620" s="4"/>
      <c r="BA1620" s="3"/>
      <c r="BB1620" s="4"/>
      <c r="BC1620" s="3"/>
      <c r="BD1620" s="3"/>
      <c r="BE1620" s="3"/>
      <c r="BF1620" s="4"/>
      <c r="BG1620" s="3"/>
      <c r="BH1620" s="3"/>
      <c r="BI1620" s="4"/>
      <c r="BJ1620" s="4"/>
      <c r="BK1620" s="4"/>
      <c r="BL1620" s="4"/>
      <c r="BM1620" s="4"/>
      <c r="BN1620" s="4"/>
      <c r="BO1620" s="4"/>
      <c r="BP1620" s="4"/>
      <c r="BQ1620" s="4"/>
      <c r="BR1620" s="4"/>
      <c r="BS1620" s="4"/>
      <c r="BT1620" s="4"/>
      <c r="BU1620" s="4"/>
      <c r="BV1620" s="4"/>
      <c r="BW1620" s="4"/>
      <c r="BX1620" s="4"/>
      <c r="BY1620" s="4"/>
      <c r="BZ1620" s="4"/>
      <c r="CA1620" s="4"/>
      <c r="CB1620" s="4"/>
      <c r="CC1620" s="4"/>
      <c r="CD1620" s="4"/>
      <c r="CE1620" s="4"/>
      <c r="CF1620" s="4"/>
      <c r="CG1620" s="4"/>
      <c r="CH1620" s="4"/>
      <c r="CI1620" s="4"/>
      <c r="CJ1620" s="4"/>
      <c r="CK1620" s="4"/>
      <c r="CL1620" s="4"/>
      <c r="CM1620" s="4"/>
      <c r="CN1620" s="4"/>
      <c r="CO1620" s="4"/>
      <c r="CP1620" s="4"/>
      <c r="CQ1620" s="4"/>
      <c r="CR1620" s="4"/>
      <c r="CS1620" s="4"/>
      <c r="CT1620" s="4"/>
      <c r="CU1620" s="4"/>
      <c r="CV1620" s="4"/>
      <c r="CW1620" s="3"/>
      <c r="CX1620" s="3"/>
      <c r="CY1620" s="3"/>
      <c r="CZ1620" s="4"/>
      <c r="DA1620" s="4"/>
      <c r="DB1620" s="4"/>
      <c r="DC1620" s="4"/>
      <c r="DD1620" s="3"/>
      <c r="DE1620" s="3"/>
      <c r="DF1620" s="3"/>
      <c r="DG1620" s="3"/>
      <c r="DH1620" s="4"/>
      <c r="DI1620" s="4"/>
      <c r="DJ1620" s="4"/>
      <c r="DK1620" s="4"/>
      <c r="DL1620" s="4"/>
      <c r="DM1620" s="4"/>
      <c r="DN1620" s="4"/>
      <c r="DO1620" s="4"/>
      <c r="DP1620" s="4"/>
      <c r="DQ1620" s="4"/>
      <c r="DR1620" s="4"/>
      <c r="DS1620" s="4"/>
      <c r="DT1620" s="4"/>
      <c r="DU1620" s="4"/>
      <c r="DV1620" s="4"/>
      <c r="DW1620" s="4"/>
      <c r="DX1620" s="4"/>
      <c r="DY1620" s="4"/>
      <c r="DZ1620" s="4"/>
      <c r="EA1620" s="4"/>
      <c r="EB1620" s="3"/>
      <c r="EC1620" s="3"/>
      <c r="ED1620" s="3"/>
      <c r="EE1620" s="3"/>
      <c r="EF1620" s="3"/>
      <c r="EG1620" s="3"/>
      <c r="EH1620" s="4"/>
      <c r="EI1620" s="4"/>
      <c r="EJ1620" s="3"/>
    </row>
    <row r="1621" spans="1:146" hidden="1">
      <c r="A1621" s="11" t="s">
        <v>9940</v>
      </c>
      <c r="B1621" s="3" t="s">
        <v>8379</v>
      </c>
      <c r="C1621" s="3">
        <v>1995</v>
      </c>
      <c r="D1621" s="3" t="s">
        <v>9924</v>
      </c>
      <c r="E1621" s="3" t="s">
        <v>9925</v>
      </c>
      <c r="F1621" s="3">
        <v>0</v>
      </c>
      <c r="G1621" s="3" t="s">
        <v>9237</v>
      </c>
      <c r="H1621" s="3" t="s">
        <v>9927</v>
      </c>
      <c r="I1621" s="3"/>
      <c r="J1621" s="3"/>
      <c r="K1621" s="4"/>
      <c r="L1621" s="4"/>
      <c r="M1621" s="4"/>
      <c r="S1621" s="4"/>
      <c r="V1621" s="4"/>
      <c r="W1621" s="4"/>
      <c r="X1621" s="5" t="s">
        <v>9926</v>
      </c>
      <c r="Y1621" s="5"/>
      <c r="Z1621" s="4"/>
      <c r="AA1621" s="4"/>
      <c r="AB1621" s="4"/>
      <c r="AE1621" s="4"/>
      <c r="AF1621" s="4"/>
      <c r="AG1621" s="3"/>
      <c r="AH1621" s="3"/>
      <c r="AI1621" s="3"/>
      <c r="AJ1621" s="3"/>
      <c r="AK1621" s="4"/>
      <c r="AL1621" s="4"/>
      <c r="AM1621" s="3"/>
      <c r="AN1621" s="4"/>
      <c r="AO1621" s="4"/>
      <c r="AP1621" s="4"/>
      <c r="AQ1621" s="4"/>
      <c r="AR1621" s="4"/>
      <c r="AS1621" s="4"/>
      <c r="AT1621" s="4"/>
      <c r="AU1621" s="4"/>
      <c r="AV1621" s="4"/>
      <c r="AW1621" s="3"/>
      <c r="AX1621" s="4"/>
      <c r="AY1621" s="3"/>
      <c r="AZ1621" s="3"/>
      <c r="BA1621" s="3"/>
      <c r="BB1621" s="4"/>
      <c r="BC1621" s="3"/>
      <c r="BD1621" s="3"/>
      <c r="BE1621" s="4"/>
      <c r="BF1621" s="4"/>
      <c r="BG1621" s="4"/>
      <c r="BH1621" s="4"/>
      <c r="BI1621" s="4"/>
      <c r="BJ1621" s="4"/>
      <c r="BK1621" s="4"/>
      <c r="BL1621" s="4"/>
      <c r="BM1621" s="4"/>
      <c r="BN1621" s="4"/>
      <c r="BO1621" s="4"/>
      <c r="BP1621" s="4"/>
      <c r="BQ1621" s="4"/>
      <c r="BR1621" s="4"/>
      <c r="BS1621" s="4"/>
      <c r="BT1621" s="4"/>
      <c r="BU1621" s="4"/>
      <c r="BV1621" s="4"/>
      <c r="BW1621" s="4"/>
      <c r="BX1621" s="4"/>
      <c r="BY1621" s="4"/>
      <c r="BZ1621" s="4"/>
      <c r="CA1621" s="4"/>
      <c r="CB1621" s="4"/>
      <c r="CC1621" s="4"/>
      <c r="CD1621" s="4"/>
      <c r="CE1621" s="4"/>
      <c r="CF1621" s="4"/>
      <c r="CG1621" s="4"/>
      <c r="CH1621" s="4"/>
      <c r="CI1621" s="4"/>
      <c r="CJ1621" s="4"/>
      <c r="CK1621" s="4"/>
      <c r="CL1621" s="4"/>
      <c r="CM1621" s="4"/>
      <c r="CN1621" s="4"/>
      <c r="CO1621" s="4"/>
      <c r="CP1621" s="4"/>
      <c r="CQ1621" s="4"/>
      <c r="CR1621" s="3"/>
      <c r="CS1621" s="3"/>
      <c r="CT1621" s="4"/>
      <c r="CU1621" s="4"/>
      <c r="CV1621" s="4"/>
      <c r="CW1621" s="4"/>
      <c r="CX1621" s="4"/>
      <c r="CY1621" s="4"/>
      <c r="CZ1621" s="4"/>
      <c r="DA1621" s="4"/>
      <c r="DB1621" s="4"/>
      <c r="DC1621" s="4"/>
      <c r="DD1621" s="4"/>
      <c r="DE1621" s="4"/>
      <c r="DF1621" s="4"/>
      <c r="DG1621" s="4"/>
      <c r="DH1621" s="4"/>
      <c r="DI1621" s="4"/>
      <c r="DJ1621" s="4"/>
      <c r="DK1621" s="4"/>
      <c r="DL1621" s="4"/>
      <c r="DM1621" s="4"/>
      <c r="DN1621" s="4"/>
      <c r="DO1621" s="4"/>
      <c r="DP1621" s="4"/>
      <c r="DQ1621" s="4"/>
      <c r="DR1621" s="4"/>
      <c r="DS1621" s="4"/>
      <c r="DT1621" s="4"/>
      <c r="DU1621" s="4"/>
      <c r="DV1621" s="4"/>
      <c r="DW1621" s="4"/>
      <c r="DX1621" s="4"/>
      <c r="DY1621" s="4"/>
      <c r="DZ1621" s="4"/>
      <c r="EA1621" s="4"/>
      <c r="EB1621" s="4"/>
      <c r="EC1621" s="4"/>
      <c r="ED1621" s="4"/>
      <c r="EE1621" s="4"/>
    </row>
    <row r="1622" spans="1:146" hidden="1">
      <c r="A1622" s="11" t="s">
        <v>9940</v>
      </c>
      <c r="B1622" s="3" t="s">
        <v>8379</v>
      </c>
      <c r="C1622" s="3">
        <v>2000</v>
      </c>
      <c r="D1622" s="3" t="s">
        <v>9928</v>
      </c>
      <c r="E1622" s="3" t="s">
        <v>9929</v>
      </c>
      <c r="F1622" s="3">
        <v>1</v>
      </c>
      <c r="G1622" s="4"/>
      <c r="H1622" s="3" t="s">
        <v>9931</v>
      </c>
      <c r="I1622" s="3"/>
      <c r="J1622" s="3"/>
      <c r="K1622" s="4"/>
      <c r="L1622" s="4"/>
      <c r="M1622" s="4"/>
      <c r="S1622" s="4"/>
      <c r="V1622" s="3"/>
      <c r="W1622" s="3"/>
      <c r="X1622" s="5" t="s">
        <v>9930</v>
      </c>
      <c r="Y1622" s="5"/>
      <c r="Z1622" s="3">
        <v>0</v>
      </c>
      <c r="AA1622" s="3" t="s">
        <v>9249</v>
      </c>
      <c r="AB1622" s="4"/>
      <c r="AE1622" s="3"/>
      <c r="AF1622" s="4"/>
      <c r="AG1622" s="4"/>
      <c r="AH1622" s="4"/>
      <c r="AI1622" s="4"/>
      <c r="AJ1622" s="4"/>
      <c r="AK1622" s="3"/>
      <c r="AL1622" s="3"/>
      <c r="AM1622" s="3"/>
      <c r="AN1622" s="3"/>
      <c r="AO1622" s="4"/>
      <c r="AP1622" s="4"/>
      <c r="AQ1622" s="3"/>
      <c r="AR1622" s="4"/>
      <c r="AS1622" s="4"/>
      <c r="AT1622" s="4"/>
      <c r="AU1622" s="4"/>
      <c r="AV1622" s="4"/>
      <c r="AW1622" s="4"/>
      <c r="AX1622" s="4"/>
      <c r="AY1622" s="4"/>
      <c r="AZ1622" s="4"/>
      <c r="BA1622" s="3"/>
      <c r="BB1622" s="4"/>
      <c r="BC1622" s="3"/>
      <c r="BD1622" s="3"/>
      <c r="BE1622" s="3"/>
      <c r="BF1622" s="4"/>
      <c r="BG1622" s="3"/>
      <c r="BH1622" s="3"/>
      <c r="BI1622" s="4"/>
      <c r="BJ1622" s="4"/>
      <c r="BK1622" s="4"/>
      <c r="BL1622" s="4"/>
      <c r="BM1622" s="4"/>
      <c r="BN1622" s="4"/>
      <c r="BO1622" s="4"/>
      <c r="BP1622" s="4"/>
      <c r="BQ1622" s="4"/>
      <c r="BR1622" s="4"/>
      <c r="BS1622" s="4"/>
      <c r="BT1622" s="4"/>
      <c r="BU1622" s="4"/>
      <c r="BV1622" s="4"/>
      <c r="BW1622" s="4"/>
      <c r="BX1622" s="4"/>
      <c r="BY1622" s="4"/>
      <c r="BZ1622" s="4"/>
      <c r="CA1622" s="4"/>
      <c r="CB1622" s="4"/>
      <c r="CC1622" s="4"/>
      <c r="CD1622" s="4"/>
      <c r="CE1622" s="4"/>
      <c r="CF1622" s="4"/>
      <c r="CG1622" s="4"/>
      <c r="CH1622" s="4"/>
      <c r="CI1622" s="4"/>
      <c r="CJ1622" s="4"/>
      <c r="CK1622" s="4"/>
      <c r="CL1622" s="4"/>
      <c r="CM1622" s="4"/>
      <c r="CN1622" s="4"/>
      <c r="CO1622" s="4"/>
      <c r="CP1622" s="4"/>
      <c r="CQ1622" s="4"/>
      <c r="CR1622" s="4"/>
      <c r="CS1622" s="4"/>
      <c r="CT1622" s="4"/>
      <c r="CU1622" s="4"/>
      <c r="CV1622" s="4"/>
      <c r="CW1622" s="4"/>
      <c r="CX1622" s="3"/>
      <c r="CY1622" s="3"/>
      <c r="CZ1622" s="4"/>
      <c r="DA1622" s="4"/>
      <c r="DB1622" s="4"/>
      <c r="DC1622" s="4"/>
      <c r="DD1622" s="4"/>
      <c r="DE1622" s="4"/>
      <c r="DF1622" s="4"/>
      <c r="DG1622" s="4"/>
      <c r="DH1622" s="4"/>
      <c r="DI1622" s="4"/>
      <c r="DJ1622" s="4"/>
      <c r="DK1622" s="4"/>
      <c r="DL1622" s="4"/>
      <c r="DM1622" s="4"/>
      <c r="DN1622" s="4"/>
      <c r="DO1622" s="4"/>
      <c r="DP1622" s="4"/>
      <c r="DQ1622" s="4"/>
      <c r="DR1622" s="4"/>
      <c r="DS1622" s="4"/>
      <c r="DT1622" s="4"/>
      <c r="DU1622" s="4"/>
      <c r="DV1622" s="4"/>
      <c r="DW1622" s="4"/>
      <c r="DX1622" s="4"/>
      <c r="DY1622" s="4"/>
      <c r="DZ1622" s="4"/>
      <c r="EA1622" s="4"/>
      <c r="EB1622" s="4"/>
      <c r="EC1622" s="4"/>
      <c r="ED1622" s="4"/>
      <c r="EE1622" s="4"/>
      <c r="EF1622" s="4"/>
      <c r="EG1622" s="4"/>
      <c r="EH1622" s="4"/>
      <c r="EI1622" s="4"/>
      <c r="EJ1622" s="4"/>
      <c r="EK1622" s="4"/>
    </row>
    <row r="1623" spans="1:146" hidden="1">
      <c r="A1623" s="11" t="s">
        <v>9940</v>
      </c>
      <c r="B1623" s="3" t="s">
        <v>9323</v>
      </c>
      <c r="C1623" s="3">
        <v>1958</v>
      </c>
      <c r="D1623" s="3" t="s">
        <v>9932</v>
      </c>
      <c r="E1623" s="3" t="s">
        <v>9933</v>
      </c>
      <c r="F1623" s="3">
        <v>1</v>
      </c>
      <c r="G1623" s="4"/>
      <c r="H1623" s="3" t="s">
        <v>9935</v>
      </c>
      <c r="I1623" s="3"/>
      <c r="J1623" s="3"/>
      <c r="K1623" s="4"/>
      <c r="L1623" s="4"/>
      <c r="M1623" s="4"/>
      <c r="S1623" s="4"/>
      <c r="V1623" s="3"/>
      <c r="W1623" s="3"/>
      <c r="X1623" s="5" t="s">
        <v>9934</v>
      </c>
      <c r="Y1623" s="5"/>
      <c r="Z1623" s="3">
        <v>0</v>
      </c>
      <c r="AA1623" s="3" t="s">
        <v>9178</v>
      </c>
      <c r="AB1623" s="4"/>
      <c r="AE1623" s="3"/>
      <c r="AF1623" s="4"/>
      <c r="AG1623" s="4"/>
      <c r="AH1623" s="4"/>
      <c r="AI1623" s="4"/>
      <c r="AJ1623" s="4"/>
      <c r="AK1623" s="3"/>
      <c r="AL1623" s="3"/>
      <c r="AM1623" s="3"/>
      <c r="AN1623" s="3"/>
      <c r="AO1623" s="4"/>
      <c r="AP1623" s="4"/>
      <c r="AQ1623" s="4"/>
      <c r="AR1623" s="4"/>
      <c r="AS1623" s="4"/>
      <c r="AT1623" s="4"/>
      <c r="AU1623" s="4"/>
      <c r="AV1623" s="4"/>
      <c r="AW1623" s="4"/>
      <c r="AX1623" s="4"/>
      <c r="AY1623" s="4"/>
      <c r="AZ1623" s="4"/>
      <c r="BA1623" s="3"/>
      <c r="BB1623" s="3"/>
      <c r="BC1623" s="4"/>
      <c r="BD1623" s="4"/>
      <c r="BE1623" s="4"/>
      <c r="BF1623" s="3"/>
      <c r="BG1623" s="3"/>
      <c r="BH1623" s="3"/>
      <c r="BI1623" s="4"/>
      <c r="BJ1623" s="4"/>
      <c r="BK1623" s="4"/>
      <c r="BL1623" s="4"/>
      <c r="BM1623" s="4"/>
      <c r="BN1623" s="3"/>
      <c r="BO1623" s="4"/>
      <c r="BP1623" s="4"/>
      <c r="BQ1623" s="4"/>
      <c r="BR1623" s="4"/>
      <c r="BS1623" s="4"/>
      <c r="BT1623" s="4"/>
      <c r="BU1623" s="4"/>
      <c r="BV1623" s="4"/>
      <c r="BW1623" s="4"/>
      <c r="BX1623" s="4"/>
      <c r="BY1623" s="4"/>
      <c r="BZ1623" s="4"/>
      <c r="CA1623" s="4"/>
      <c r="CB1623" s="4"/>
      <c r="CC1623" s="4"/>
      <c r="CD1623" s="4"/>
      <c r="CE1623" s="4"/>
      <c r="CF1623" s="4"/>
      <c r="CG1623" s="4"/>
      <c r="CH1623" s="4"/>
      <c r="CI1623" s="4"/>
      <c r="CJ1623" s="4"/>
      <c r="CK1623" s="4"/>
      <c r="CL1623" s="4"/>
      <c r="CM1623" s="4"/>
      <c r="CN1623" s="4"/>
      <c r="CO1623" s="4"/>
      <c r="CP1623" s="4"/>
      <c r="CQ1623" s="4"/>
      <c r="CR1623" s="4"/>
      <c r="CS1623" s="4"/>
      <c r="CT1623" s="4"/>
      <c r="CU1623" s="4"/>
      <c r="CV1623" s="4"/>
      <c r="CW1623" s="4"/>
      <c r="CX1623" s="4"/>
      <c r="CY1623" s="4"/>
      <c r="CZ1623" s="4"/>
      <c r="DA1623" s="4"/>
      <c r="DB1623" s="4"/>
      <c r="DC1623" s="3"/>
      <c r="DD1623" s="3"/>
      <c r="DE1623" s="4"/>
      <c r="DF1623" s="4"/>
      <c r="DG1623" s="4"/>
      <c r="DH1623" s="4"/>
      <c r="DI1623" s="4"/>
      <c r="DJ1623" s="4"/>
      <c r="DK1623" s="4"/>
      <c r="DL1623" s="4"/>
      <c r="DM1623" s="4"/>
      <c r="DN1623" s="4"/>
      <c r="DO1623" s="4"/>
      <c r="DP1623" s="4"/>
      <c r="DQ1623" s="4"/>
      <c r="DR1623" s="4"/>
      <c r="DS1623" s="4"/>
      <c r="DT1623" s="4"/>
      <c r="DU1623" s="4"/>
      <c r="DV1623" s="4"/>
      <c r="DW1623" s="4"/>
      <c r="DX1623" s="4"/>
      <c r="DY1623" s="4"/>
      <c r="DZ1623" s="4"/>
      <c r="EA1623" s="4"/>
      <c r="EB1623" s="4"/>
      <c r="EC1623" s="4"/>
      <c r="ED1623" s="4"/>
      <c r="EE1623" s="4"/>
      <c r="EF1623" s="4"/>
      <c r="EG1623" s="4"/>
      <c r="EH1623" s="4"/>
      <c r="EI1623" s="4"/>
      <c r="EJ1623" s="4"/>
      <c r="EK1623" s="4"/>
      <c r="EL1623" s="4"/>
      <c r="EM1623" s="4"/>
      <c r="EN1623" s="4"/>
      <c r="EO1623" s="4"/>
      <c r="EP1623" s="4"/>
    </row>
  </sheetData>
  <autoFilter ref="A1:AA1623" xr:uid="{00000000-0009-0000-0000-000000000000}">
    <filterColumn colId="0">
      <filters>
        <filter val="Search2021"/>
      </filters>
    </filterColumn>
    <filterColumn colId="5">
      <filters>
        <filter val="1"/>
      </filters>
    </filterColumn>
    <filterColumn colId="24">
      <filters>
        <filter val="FALSE"/>
      </filters>
    </filterColumn>
  </autoFilter>
  <phoneticPr fontId="29" type="noConversion"/>
  <conditionalFormatting sqref="X1:X1048576">
    <cfRule type="duplicateValues" dxfId="2" priority="5" stopIfTrue="1"/>
  </conditionalFormatting>
  <conditionalFormatting sqref="T1:T1048576">
    <cfRule type="duplicateValues" dxfId="1" priority="4" stopIfTrue="1"/>
  </conditionalFormatting>
  <conditionalFormatting sqref="S1:S1048576">
    <cfRule type="duplicateValues" dxfId="0" priority="3" stopIfTrue="1"/>
  </conditionalFormatting>
  <hyperlinks>
    <hyperlink ref="X1147" r:id="rId1" xr:uid="{00000000-0004-0000-0000-000000000000}"/>
    <hyperlink ref="X1148" r:id="rId2" xr:uid="{00000000-0004-0000-0000-000001000000}"/>
    <hyperlink ref="X1149" r:id="rId3" xr:uid="{00000000-0004-0000-0000-000002000000}"/>
    <hyperlink ref="X1150" r:id="rId4" xr:uid="{00000000-0004-0000-0000-000003000000}"/>
    <hyperlink ref="X1151" r:id="rId5" xr:uid="{00000000-0004-0000-0000-000004000000}"/>
    <hyperlink ref="X1152" r:id="rId6" xr:uid="{00000000-0004-0000-0000-000005000000}"/>
    <hyperlink ref="X1153" r:id="rId7" xr:uid="{00000000-0004-0000-0000-000006000000}"/>
    <hyperlink ref="X1154" r:id="rId8" xr:uid="{00000000-0004-0000-0000-000007000000}"/>
    <hyperlink ref="X1155" r:id="rId9" xr:uid="{00000000-0004-0000-0000-000008000000}"/>
    <hyperlink ref="X1156" r:id="rId10" xr:uid="{00000000-0004-0000-0000-000009000000}"/>
    <hyperlink ref="X1157" r:id="rId11" xr:uid="{00000000-0004-0000-0000-00000A000000}"/>
    <hyperlink ref="X1158" r:id="rId12" xr:uid="{00000000-0004-0000-0000-00000B000000}"/>
    <hyperlink ref="X1159" r:id="rId13" xr:uid="{00000000-0004-0000-0000-00000C000000}"/>
    <hyperlink ref="X1160" r:id="rId14" xr:uid="{00000000-0004-0000-0000-00000D000000}"/>
    <hyperlink ref="X1161" r:id="rId15" xr:uid="{00000000-0004-0000-0000-00000E000000}"/>
    <hyperlink ref="X1162" r:id="rId16" xr:uid="{00000000-0004-0000-0000-00000F000000}"/>
    <hyperlink ref="X1163" r:id="rId17" xr:uid="{00000000-0004-0000-0000-000010000000}"/>
    <hyperlink ref="X1164" r:id="rId18" xr:uid="{00000000-0004-0000-0000-000011000000}"/>
    <hyperlink ref="X1165" r:id="rId19" xr:uid="{00000000-0004-0000-0000-000012000000}"/>
    <hyperlink ref="X1166" r:id="rId20" xr:uid="{00000000-0004-0000-0000-000013000000}"/>
    <hyperlink ref="X1167" r:id="rId21" xr:uid="{00000000-0004-0000-0000-000014000000}"/>
    <hyperlink ref="X1168" r:id="rId22" xr:uid="{00000000-0004-0000-0000-000015000000}"/>
    <hyperlink ref="X1169" r:id="rId23" xr:uid="{00000000-0004-0000-0000-000016000000}"/>
    <hyperlink ref="X1170" r:id="rId24" xr:uid="{00000000-0004-0000-0000-000017000000}"/>
    <hyperlink ref="X1171" r:id="rId25" xr:uid="{00000000-0004-0000-0000-000018000000}"/>
    <hyperlink ref="X1172" r:id="rId26" xr:uid="{00000000-0004-0000-0000-000019000000}"/>
    <hyperlink ref="X1173" r:id="rId27" xr:uid="{00000000-0004-0000-0000-00001A000000}"/>
    <hyperlink ref="X1174" r:id="rId28" xr:uid="{00000000-0004-0000-0000-00001B000000}"/>
    <hyperlink ref="X1175" r:id="rId29" xr:uid="{00000000-0004-0000-0000-00001C000000}"/>
    <hyperlink ref="X1176" r:id="rId30" xr:uid="{00000000-0004-0000-0000-00001D000000}"/>
    <hyperlink ref="X1177" r:id="rId31" xr:uid="{00000000-0004-0000-0000-00001E000000}"/>
    <hyperlink ref="X1178" r:id="rId32" xr:uid="{00000000-0004-0000-0000-00001F000000}"/>
    <hyperlink ref="X1179" r:id="rId33" xr:uid="{00000000-0004-0000-0000-000020000000}"/>
    <hyperlink ref="X1180" r:id="rId34" xr:uid="{00000000-0004-0000-0000-000021000000}"/>
    <hyperlink ref="X1181" r:id="rId35" xr:uid="{00000000-0004-0000-0000-000022000000}"/>
    <hyperlink ref="X1182" r:id="rId36" xr:uid="{00000000-0004-0000-0000-000023000000}"/>
    <hyperlink ref="X1183" r:id="rId37" xr:uid="{00000000-0004-0000-0000-000024000000}"/>
    <hyperlink ref="X1184" r:id="rId38" xr:uid="{00000000-0004-0000-0000-000025000000}"/>
    <hyperlink ref="X1185" r:id="rId39" xr:uid="{00000000-0004-0000-0000-000026000000}"/>
    <hyperlink ref="X1186" r:id="rId40" xr:uid="{00000000-0004-0000-0000-000027000000}"/>
    <hyperlink ref="X1187" r:id="rId41" xr:uid="{00000000-0004-0000-0000-000028000000}"/>
    <hyperlink ref="X1188" r:id="rId42" xr:uid="{00000000-0004-0000-0000-000029000000}"/>
    <hyperlink ref="X1189" r:id="rId43" xr:uid="{00000000-0004-0000-0000-00002A000000}"/>
    <hyperlink ref="X1190" r:id="rId44" xr:uid="{00000000-0004-0000-0000-00002B000000}"/>
    <hyperlink ref="X1191" r:id="rId45" xr:uid="{00000000-0004-0000-0000-00002C000000}"/>
    <hyperlink ref="X1192" r:id="rId46" xr:uid="{00000000-0004-0000-0000-00002D000000}"/>
    <hyperlink ref="X1193" r:id="rId47" xr:uid="{00000000-0004-0000-0000-00002E000000}"/>
    <hyperlink ref="X1194" r:id="rId48" xr:uid="{00000000-0004-0000-0000-00002F000000}"/>
    <hyperlink ref="X1195" r:id="rId49" xr:uid="{00000000-0004-0000-0000-000030000000}"/>
    <hyperlink ref="X1196" r:id="rId50" xr:uid="{00000000-0004-0000-0000-000031000000}"/>
    <hyperlink ref="X1197" r:id="rId51" xr:uid="{00000000-0004-0000-0000-000032000000}"/>
    <hyperlink ref="X1198" r:id="rId52" xr:uid="{00000000-0004-0000-0000-000033000000}"/>
    <hyperlink ref="X1199" r:id="rId53" xr:uid="{00000000-0004-0000-0000-000034000000}"/>
    <hyperlink ref="X1200" r:id="rId54" xr:uid="{00000000-0004-0000-0000-000035000000}"/>
    <hyperlink ref="X1201" r:id="rId55" xr:uid="{00000000-0004-0000-0000-000036000000}"/>
    <hyperlink ref="X1202" r:id="rId56" xr:uid="{00000000-0004-0000-0000-000037000000}"/>
    <hyperlink ref="X1203" r:id="rId57" xr:uid="{00000000-0004-0000-0000-000038000000}"/>
    <hyperlink ref="X1204" r:id="rId58" xr:uid="{00000000-0004-0000-0000-000039000000}"/>
    <hyperlink ref="X1205" r:id="rId59" xr:uid="{00000000-0004-0000-0000-00003A000000}"/>
    <hyperlink ref="X1206" r:id="rId60" xr:uid="{00000000-0004-0000-0000-00003B000000}"/>
    <hyperlink ref="X1207" r:id="rId61" xr:uid="{00000000-0004-0000-0000-00003C000000}"/>
    <hyperlink ref="X1208" r:id="rId62" xr:uid="{00000000-0004-0000-0000-00003D000000}"/>
    <hyperlink ref="X1209" r:id="rId63" xr:uid="{00000000-0004-0000-0000-00003E000000}"/>
    <hyperlink ref="X1210" r:id="rId64" xr:uid="{00000000-0004-0000-0000-00003F000000}"/>
    <hyperlink ref="X1211" r:id="rId65" xr:uid="{00000000-0004-0000-0000-000040000000}"/>
    <hyperlink ref="X1212" r:id="rId66" xr:uid="{00000000-0004-0000-0000-000041000000}"/>
    <hyperlink ref="X1213" r:id="rId67" xr:uid="{00000000-0004-0000-0000-000042000000}"/>
    <hyperlink ref="X1214" r:id="rId68" xr:uid="{00000000-0004-0000-0000-000043000000}"/>
    <hyperlink ref="X1215" r:id="rId69" xr:uid="{00000000-0004-0000-0000-000044000000}"/>
    <hyperlink ref="X1216" r:id="rId70" xr:uid="{00000000-0004-0000-0000-000045000000}"/>
    <hyperlink ref="X1217" r:id="rId71" xr:uid="{00000000-0004-0000-0000-000046000000}"/>
    <hyperlink ref="X1218" r:id="rId72" xr:uid="{00000000-0004-0000-0000-000047000000}"/>
    <hyperlink ref="X1219" r:id="rId73" xr:uid="{00000000-0004-0000-0000-000048000000}"/>
    <hyperlink ref="X1220" r:id="rId74" xr:uid="{00000000-0004-0000-0000-000049000000}"/>
    <hyperlink ref="X1221" r:id="rId75" xr:uid="{00000000-0004-0000-0000-00004A000000}"/>
    <hyperlink ref="X1222" r:id="rId76" xr:uid="{00000000-0004-0000-0000-00004B000000}"/>
    <hyperlink ref="X1223" r:id="rId77" xr:uid="{00000000-0004-0000-0000-00004C000000}"/>
    <hyperlink ref="X1224" r:id="rId78" xr:uid="{00000000-0004-0000-0000-00004D000000}"/>
    <hyperlink ref="X1225" r:id="rId79" xr:uid="{00000000-0004-0000-0000-00004E000000}"/>
    <hyperlink ref="X1226" r:id="rId80" xr:uid="{00000000-0004-0000-0000-00004F000000}"/>
    <hyperlink ref="X1227" r:id="rId81" xr:uid="{00000000-0004-0000-0000-000050000000}"/>
    <hyperlink ref="X1228" r:id="rId82" xr:uid="{00000000-0004-0000-0000-000051000000}"/>
    <hyperlink ref="X1229" r:id="rId83" xr:uid="{00000000-0004-0000-0000-000052000000}"/>
    <hyperlink ref="X1230" r:id="rId84" xr:uid="{00000000-0004-0000-0000-000053000000}"/>
    <hyperlink ref="X1231" r:id="rId85" xr:uid="{00000000-0004-0000-0000-000054000000}"/>
    <hyperlink ref="X1232" r:id="rId86" xr:uid="{00000000-0004-0000-0000-000055000000}"/>
    <hyperlink ref="X1233" r:id="rId87" xr:uid="{00000000-0004-0000-0000-000056000000}"/>
    <hyperlink ref="X1234" r:id="rId88" xr:uid="{00000000-0004-0000-0000-000057000000}"/>
    <hyperlink ref="X1235" r:id="rId89" xr:uid="{00000000-0004-0000-0000-000058000000}"/>
    <hyperlink ref="X1236" r:id="rId90" xr:uid="{00000000-0004-0000-0000-000059000000}"/>
    <hyperlink ref="X1237" r:id="rId91" xr:uid="{00000000-0004-0000-0000-00005A000000}"/>
    <hyperlink ref="X1238" r:id="rId92" xr:uid="{00000000-0004-0000-0000-00005B000000}"/>
    <hyperlink ref="X1239" r:id="rId93" xr:uid="{00000000-0004-0000-0000-00005C000000}"/>
    <hyperlink ref="X1240" r:id="rId94" xr:uid="{00000000-0004-0000-0000-00005D000000}"/>
    <hyperlink ref="X1241" r:id="rId95" xr:uid="{00000000-0004-0000-0000-00005E000000}"/>
    <hyperlink ref="X1242" r:id="rId96" xr:uid="{00000000-0004-0000-0000-00005F000000}"/>
    <hyperlink ref="X1243" r:id="rId97" xr:uid="{00000000-0004-0000-0000-000060000000}"/>
    <hyperlink ref="X1244" r:id="rId98" xr:uid="{00000000-0004-0000-0000-000061000000}"/>
    <hyperlink ref="X1245" r:id="rId99" xr:uid="{00000000-0004-0000-0000-000062000000}"/>
    <hyperlink ref="X1246" r:id="rId100" xr:uid="{00000000-0004-0000-0000-000063000000}"/>
    <hyperlink ref="X1247" r:id="rId101" xr:uid="{00000000-0004-0000-0000-000064000000}"/>
    <hyperlink ref="X1248" r:id="rId102" xr:uid="{00000000-0004-0000-0000-000065000000}"/>
    <hyperlink ref="X1249" r:id="rId103" xr:uid="{00000000-0004-0000-0000-000066000000}"/>
    <hyperlink ref="X1250" r:id="rId104" xr:uid="{00000000-0004-0000-0000-000067000000}"/>
    <hyperlink ref="X1251" r:id="rId105" xr:uid="{00000000-0004-0000-0000-000068000000}"/>
    <hyperlink ref="X1252" r:id="rId106" xr:uid="{00000000-0004-0000-0000-000069000000}"/>
    <hyperlink ref="X1253" r:id="rId107" xr:uid="{00000000-0004-0000-0000-00006A000000}"/>
    <hyperlink ref="X1254" r:id="rId108" xr:uid="{00000000-0004-0000-0000-00006B000000}"/>
    <hyperlink ref="X1255" r:id="rId109" xr:uid="{00000000-0004-0000-0000-00006C000000}"/>
    <hyperlink ref="X1256" r:id="rId110" xr:uid="{00000000-0004-0000-0000-00006D000000}"/>
    <hyperlink ref="X1257" r:id="rId111" xr:uid="{00000000-0004-0000-0000-00006E000000}"/>
    <hyperlink ref="X1258" r:id="rId112" xr:uid="{00000000-0004-0000-0000-00006F000000}"/>
    <hyperlink ref="X1259" r:id="rId113" xr:uid="{00000000-0004-0000-0000-000070000000}"/>
    <hyperlink ref="X1260" r:id="rId114" xr:uid="{00000000-0004-0000-0000-000071000000}"/>
    <hyperlink ref="X1261" r:id="rId115" xr:uid="{00000000-0004-0000-0000-000072000000}"/>
    <hyperlink ref="X1262" r:id="rId116" xr:uid="{00000000-0004-0000-0000-000073000000}"/>
    <hyperlink ref="X1263" r:id="rId117" xr:uid="{00000000-0004-0000-0000-000074000000}"/>
    <hyperlink ref="X1264" r:id="rId118" xr:uid="{00000000-0004-0000-0000-000075000000}"/>
    <hyperlink ref="X1265" r:id="rId119" xr:uid="{00000000-0004-0000-0000-000076000000}"/>
    <hyperlink ref="X1266" r:id="rId120" xr:uid="{00000000-0004-0000-0000-000077000000}"/>
    <hyperlink ref="X1267" r:id="rId121" xr:uid="{00000000-0004-0000-0000-000078000000}"/>
    <hyperlink ref="X1268" r:id="rId122" xr:uid="{00000000-0004-0000-0000-000079000000}"/>
    <hyperlink ref="X1269" r:id="rId123" xr:uid="{00000000-0004-0000-0000-00007A000000}"/>
    <hyperlink ref="X1270" r:id="rId124" xr:uid="{00000000-0004-0000-0000-00007B000000}"/>
    <hyperlink ref="X1271" r:id="rId125" xr:uid="{00000000-0004-0000-0000-00007C000000}"/>
    <hyperlink ref="X1272" r:id="rId126" xr:uid="{00000000-0004-0000-0000-00007D000000}"/>
    <hyperlink ref="X1273" r:id="rId127" xr:uid="{00000000-0004-0000-0000-00007E000000}"/>
    <hyperlink ref="X1274" r:id="rId128" xr:uid="{00000000-0004-0000-0000-00007F000000}"/>
    <hyperlink ref="X1275" r:id="rId129" xr:uid="{00000000-0004-0000-0000-000080000000}"/>
    <hyperlink ref="X1276" r:id="rId130" xr:uid="{00000000-0004-0000-0000-000081000000}"/>
    <hyperlink ref="X1277" r:id="rId131" xr:uid="{00000000-0004-0000-0000-000082000000}"/>
    <hyperlink ref="X1278" r:id="rId132" xr:uid="{00000000-0004-0000-0000-000083000000}"/>
    <hyperlink ref="X1279" r:id="rId133" xr:uid="{00000000-0004-0000-0000-000084000000}"/>
    <hyperlink ref="X1280" r:id="rId134" xr:uid="{00000000-0004-0000-0000-000085000000}"/>
    <hyperlink ref="X1281" r:id="rId135" xr:uid="{00000000-0004-0000-0000-000086000000}"/>
    <hyperlink ref="X1282" r:id="rId136" xr:uid="{00000000-0004-0000-0000-000087000000}"/>
    <hyperlink ref="X1283" r:id="rId137" xr:uid="{00000000-0004-0000-0000-000088000000}"/>
    <hyperlink ref="X1284" r:id="rId138" xr:uid="{00000000-0004-0000-0000-000089000000}"/>
    <hyperlink ref="X1285" r:id="rId139" xr:uid="{00000000-0004-0000-0000-00008A000000}"/>
    <hyperlink ref="X1286" r:id="rId140" xr:uid="{00000000-0004-0000-0000-00008B000000}"/>
    <hyperlink ref="X1287" r:id="rId141" xr:uid="{00000000-0004-0000-0000-00008C000000}"/>
    <hyperlink ref="X1288" r:id="rId142" xr:uid="{00000000-0004-0000-0000-00008D000000}"/>
    <hyperlink ref="X1289" r:id="rId143" xr:uid="{00000000-0004-0000-0000-00008E000000}"/>
    <hyperlink ref="X1290" r:id="rId144" xr:uid="{00000000-0004-0000-0000-00008F000000}"/>
    <hyperlink ref="X1291" r:id="rId145" xr:uid="{00000000-0004-0000-0000-000090000000}"/>
    <hyperlink ref="X1292" r:id="rId146" xr:uid="{00000000-0004-0000-0000-000091000000}"/>
    <hyperlink ref="X1293" r:id="rId147" xr:uid="{00000000-0004-0000-0000-000092000000}"/>
    <hyperlink ref="X1294" r:id="rId148" xr:uid="{00000000-0004-0000-0000-000093000000}"/>
    <hyperlink ref="X1295" r:id="rId149" xr:uid="{00000000-0004-0000-0000-000094000000}"/>
    <hyperlink ref="X1296" r:id="rId150" xr:uid="{00000000-0004-0000-0000-000095000000}"/>
    <hyperlink ref="X1297" r:id="rId151" xr:uid="{00000000-0004-0000-0000-000096000000}"/>
    <hyperlink ref="X1298" r:id="rId152" xr:uid="{00000000-0004-0000-0000-000097000000}"/>
    <hyperlink ref="X1299" r:id="rId153" xr:uid="{00000000-0004-0000-0000-000098000000}"/>
    <hyperlink ref="X1300" r:id="rId154" xr:uid="{00000000-0004-0000-0000-000099000000}"/>
    <hyperlink ref="X1301" r:id="rId155" xr:uid="{00000000-0004-0000-0000-00009A000000}"/>
    <hyperlink ref="X1302" r:id="rId156" xr:uid="{00000000-0004-0000-0000-00009B000000}"/>
    <hyperlink ref="X1303" r:id="rId157" xr:uid="{00000000-0004-0000-0000-00009C000000}"/>
    <hyperlink ref="X1304" r:id="rId158" xr:uid="{00000000-0004-0000-0000-00009D000000}"/>
    <hyperlink ref="X1305" r:id="rId159" xr:uid="{00000000-0004-0000-0000-00009E000000}"/>
    <hyperlink ref="X1306" r:id="rId160" xr:uid="{00000000-0004-0000-0000-00009F000000}"/>
    <hyperlink ref="X1307" r:id="rId161" xr:uid="{00000000-0004-0000-0000-0000A0000000}"/>
    <hyperlink ref="X1308" r:id="rId162" xr:uid="{00000000-0004-0000-0000-0000A1000000}"/>
    <hyperlink ref="X1309" r:id="rId163" xr:uid="{00000000-0004-0000-0000-0000A2000000}"/>
    <hyperlink ref="X1310" r:id="rId164" xr:uid="{00000000-0004-0000-0000-0000A3000000}"/>
    <hyperlink ref="X1311" r:id="rId165" xr:uid="{00000000-0004-0000-0000-0000A4000000}"/>
    <hyperlink ref="X1312" r:id="rId166" xr:uid="{00000000-0004-0000-0000-0000A5000000}"/>
    <hyperlink ref="X1313" r:id="rId167" xr:uid="{00000000-0004-0000-0000-0000A6000000}"/>
    <hyperlink ref="X1314" r:id="rId168" xr:uid="{00000000-0004-0000-0000-0000A7000000}"/>
    <hyperlink ref="X1315" r:id="rId169" xr:uid="{00000000-0004-0000-0000-0000A8000000}"/>
    <hyperlink ref="X1316" r:id="rId170" xr:uid="{00000000-0004-0000-0000-0000A9000000}"/>
    <hyperlink ref="X1317" r:id="rId171" xr:uid="{00000000-0004-0000-0000-0000AA000000}"/>
    <hyperlink ref="X1318" r:id="rId172" xr:uid="{00000000-0004-0000-0000-0000AB000000}"/>
    <hyperlink ref="X1319" r:id="rId173" xr:uid="{00000000-0004-0000-0000-0000AC000000}"/>
    <hyperlink ref="X1320" r:id="rId174" xr:uid="{00000000-0004-0000-0000-0000AD000000}"/>
    <hyperlink ref="X1321" r:id="rId175" xr:uid="{00000000-0004-0000-0000-0000AE000000}"/>
    <hyperlink ref="X1322" r:id="rId176" xr:uid="{00000000-0004-0000-0000-0000AF000000}"/>
    <hyperlink ref="X1323" r:id="rId177" xr:uid="{00000000-0004-0000-0000-0000B0000000}"/>
    <hyperlink ref="X1324" r:id="rId178" xr:uid="{00000000-0004-0000-0000-0000B1000000}"/>
    <hyperlink ref="X1325" r:id="rId179" xr:uid="{00000000-0004-0000-0000-0000B2000000}"/>
    <hyperlink ref="X1326" r:id="rId180" xr:uid="{00000000-0004-0000-0000-0000B3000000}"/>
    <hyperlink ref="X1327" r:id="rId181" xr:uid="{00000000-0004-0000-0000-0000B4000000}"/>
    <hyperlink ref="X1328" r:id="rId182" xr:uid="{00000000-0004-0000-0000-0000B5000000}"/>
    <hyperlink ref="X1329" r:id="rId183" xr:uid="{00000000-0004-0000-0000-0000B6000000}"/>
    <hyperlink ref="X1330" r:id="rId184" xr:uid="{00000000-0004-0000-0000-0000B7000000}"/>
    <hyperlink ref="X1331" r:id="rId185" xr:uid="{00000000-0004-0000-0000-0000B8000000}"/>
    <hyperlink ref="X1332" r:id="rId186" xr:uid="{00000000-0004-0000-0000-0000B9000000}"/>
    <hyperlink ref="X1333" r:id="rId187" xr:uid="{00000000-0004-0000-0000-0000BA000000}"/>
    <hyperlink ref="X1334" r:id="rId188" xr:uid="{00000000-0004-0000-0000-0000BB000000}"/>
    <hyperlink ref="X1335" r:id="rId189" xr:uid="{00000000-0004-0000-0000-0000BC000000}"/>
    <hyperlink ref="X1336" r:id="rId190" xr:uid="{00000000-0004-0000-0000-0000BD000000}"/>
    <hyperlink ref="X1337" r:id="rId191" xr:uid="{00000000-0004-0000-0000-0000BE000000}"/>
    <hyperlink ref="X1338" r:id="rId192" xr:uid="{00000000-0004-0000-0000-0000BF000000}"/>
    <hyperlink ref="X1339" r:id="rId193" xr:uid="{00000000-0004-0000-0000-0000C0000000}"/>
    <hyperlink ref="X1340" r:id="rId194" xr:uid="{00000000-0004-0000-0000-0000C1000000}"/>
    <hyperlink ref="X1341" r:id="rId195" xr:uid="{00000000-0004-0000-0000-0000C2000000}"/>
    <hyperlink ref="X1342" r:id="rId196" xr:uid="{00000000-0004-0000-0000-0000C3000000}"/>
    <hyperlink ref="X1343" r:id="rId197" xr:uid="{00000000-0004-0000-0000-0000C4000000}"/>
    <hyperlink ref="X1344" r:id="rId198" xr:uid="{00000000-0004-0000-0000-0000C5000000}"/>
    <hyperlink ref="X1345" r:id="rId199" xr:uid="{00000000-0004-0000-0000-0000C6000000}"/>
    <hyperlink ref="X1346" r:id="rId200" xr:uid="{00000000-0004-0000-0000-0000C7000000}"/>
    <hyperlink ref="X1347" r:id="rId201" xr:uid="{00000000-0004-0000-0000-0000C8000000}"/>
    <hyperlink ref="X1348" r:id="rId202" xr:uid="{00000000-0004-0000-0000-0000C9000000}"/>
    <hyperlink ref="X1349" r:id="rId203" xr:uid="{00000000-0004-0000-0000-0000CA000000}"/>
    <hyperlink ref="X1350" r:id="rId204" xr:uid="{00000000-0004-0000-0000-0000CB000000}"/>
    <hyperlink ref="X1351" r:id="rId205" xr:uid="{00000000-0004-0000-0000-0000CC000000}"/>
    <hyperlink ref="X1352" r:id="rId206" xr:uid="{00000000-0004-0000-0000-0000CD000000}"/>
    <hyperlink ref="X1353" r:id="rId207" xr:uid="{00000000-0004-0000-0000-0000CE000000}"/>
    <hyperlink ref="X1354" r:id="rId208" xr:uid="{00000000-0004-0000-0000-0000CF000000}"/>
    <hyperlink ref="X1355" r:id="rId209" xr:uid="{00000000-0004-0000-0000-0000D0000000}"/>
    <hyperlink ref="X1356" r:id="rId210" xr:uid="{00000000-0004-0000-0000-0000D1000000}"/>
    <hyperlink ref="X1357" r:id="rId211" xr:uid="{00000000-0004-0000-0000-0000D2000000}"/>
    <hyperlink ref="X1358" r:id="rId212" xr:uid="{00000000-0004-0000-0000-0000D3000000}"/>
    <hyperlink ref="X1359" r:id="rId213" xr:uid="{00000000-0004-0000-0000-0000D4000000}"/>
    <hyperlink ref="X1360" r:id="rId214" xr:uid="{00000000-0004-0000-0000-0000D5000000}"/>
    <hyperlink ref="X1361" r:id="rId215" xr:uid="{00000000-0004-0000-0000-0000D6000000}"/>
    <hyperlink ref="X1362" r:id="rId216" xr:uid="{00000000-0004-0000-0000-0000D7000000}"/>
    <hyperlink ref="X1363" r:id="rId217" xr:uid="{00000000-0004-0000-0000-0000D8000000}"/>
    <hyperlink ref="X1364" r:id="rId218" xr:uid="{00000000-0004-0000-0000-0000D9000000}"/>
    <hyperlink ref="X1365" r:id="rId219" xr:uid="{00000000-0004-0000-0000-0000DA000000}"/>
    <hyperlink ref="X1366" r:id="rId220" xr:uid="{00000000-0004-0000-0000-0000DB000000}"/>
    <hyperlink ref="X1367" r:id="rId221" xr:uid="{00000000-0004-0000-0000-0000DC000000}"/>
    <hyperlink ref="X1368" r:id="rId222" xr:uid="{00000000-0004-0000-0000-0000DD000000}"/>
    <hyperlink ref="X1369" r:id="rId223" xr:uid="{00000000-0004-0000-0000-0000DE000000}"/>
    <hyperlink ref="X1370" r:id="rId224" xr:uid="{00000000-0004-0000-0000-0000DF000000}"/>
    <hyperlink ref="X1371" r:id="rId225" xr:uid="{00000000-0004-0000-0000-0000E0000000}"/>
    <hyperlink ref="X1372" r:id="rId226" xr:uid="{00000000-0004-0000-0000-0000E1000000}"/>
    <hyperlink ref="X1373" r:id="rId227" xr:uid="{00000000-0004-0000-0000-0000E2000000}"/>
    <hyperlink ref="X1374" r:id="rId228" xr:uid="{00000000-0004-0000-0000-0000E3000000}"/>
    <hyperlink ref="X1375" r:id="rId229" xr:uid="{00000000-0004-0000-0000-0000E4000000}"/>
    <hyperlink ref="X1376" r:id="rId230" xr:uid="{00000000-0004-0000-0000-0000E5000000}"/>
    <hyperlink ref="X1377" r:id="rId231" xr:uid="{00000000-0004-0000-0000-0000E6000000}"/>
    <hyperlink ref="X1378" r:id="rId232" xr:uid="{00000000-0004-0000-0000-0000E7000000}"/>
    <hyperlink ref="X1379" r:id="rId233" xr:uid="{00000000-0004-0000-0000-0000E8000000}"/>
    <hyperlink ref="X1380" r:id="rId234" xr:uid="{00000000-0004-0000-0000-0000E9000000}"/>
    <hyperlink ref="X1381" r:id="rId235" xr:uid="{00000000-0004-0000-0000-0000EA000000}"/>
    <hyperlink ref="X1382" r:id="rId236" xr:uid="{00000000-0004-0000-0000-0000EB000000}"/>
    <hyperlink ref="X1383" r:id="rId237" xr:uid="{00000000-0004-0000-0000-0000EC000000}"/>
    <hyperlink ref="X1384" r:id="rId238" xr:uid="{00000000-0004-0000-0000-0000ED000000}"/>
    <hyperlink ref="X1385" r:id="rId239" xr:uid="{00000000-0004-0000-0000-0000EE000000}"/>
    <hyperlink ref="X1386" r:id="rId240" xr:uid="{00000000-0004-0000-0000-0000EF000000}"/>
    <hyperlink ref="X1387" r:id="rId241" xr:uid="{00000000-0004-0000-0000-0000F0000000}"/>
    <hyperlink ref="X1388" r:id="rId242" xr:uid="{00000000-0004-0000-0000-0000F1000000}"/>
    <hyperlink ref="X1389" r:id="rId243" xr:uid="{00000000-0004-0000-0000-0000F2000000}"/>
    <hyperlink ref="X1390" r:id="rId244" xr:uid="{00000000-0004-0000-0000-0000F3000000}"/>
    <hyperlink ref="X1391" r:id="rId245" xr:uid="{00000000-0004-0000-0000-0000F4000000}"/>
    <hyperlink ref="X1392" r:id="rId246" xr:uid="{00000000-0004-0000-0000-0000F5000000}"/>
    <hyperlink ref="X1393" r:id="rId247" xr:uid="{00000000-0004-0000-0000-0000F6000000}"/>
    <hyperlink ref="X1394" r:id="rId248" xr:uid="{00000000-0004-0000-0000-0000F7000000}"/>
    <hyperlink ref="X1395" r:id="rId249" xr:uid="{00000000-0004-0000-0000-0000F8000000}"/>
    <hyperlink ref="X1396" r:id="rId250" xr:uid="{00000000-0004-0000-0000-0000F9000000}"/>
    <hyperlink ref="X1397" r:id="rId251" xr:uid="{00000000-0004-0000-0000-0000FA000000}"/>
    <hyperlink ref="X1398" r:id="rId252" xr:uid="{00000000-0004-0000-0000-0000FB000000}"/>
    <hyperlink ref="X1399" r:id="rId253" xr:uid="{00000000-0004-0000-0000-0000FC000000}"/>
    <hyperlink ref="X1400" r:id="rId254" xr:uid="{00000000-0004-0000-0000-0000FD000000}"/>
    <hyperlink ref="X1401" r:id="rId255" xr:uid="{00000000-0004-0000-0000-0000FE000000}"/>
    <hyperlink ref="X1402" r:id="rId256" xr:uid="{00000000-0004-0000-0000-0000FF000000}"/>
    <hyperlink ref="X1403" r:id="rId257" xr:uid="{00000000-0004-0000-0000-000000010000}"/>
    <hyperlink ref="X1404" r:id="rId258" xr:uid="{00000000-0004-0000-0000-000001010000}"/>
    <hyperlink ref="X1405" r:id="rId259" xr:uid="{00000000-0004-0000-0000-000002010000}"/>
    <hyperlink ref="X1406" r:id="rId260" xr:uid="{00000000-0004-0000-0000-000003010000}"/>
    <hyperlink ref="X1407" r:id="rId261" xr:uid="{00000000-0004-0000-0000-000004010000}"/>
    <hyperlink ref="X1408" r:id="rId262" xr:uid="{00000000-0004-0000-0000-000005010000}"/>
    <hyperlink ref="X1409" r:id="rId263" xr:uid="{00000000-0004-0000-0000-000006010000}"/>
    <hyperlink ref="X1410" r:id="rId264" xr:uid="{00000000-0004-0000-0000-000007010000}"/>
    <hyperlink ref="X1411" r:id="rId265" xr:uid="{00000000-0004-0000-0000-000008010000}"/>
    <hyperlink ref="X1412" r:id="rId266" xr:uid="{00000000-0004-0000-0000-000009010000}"/>
    <hyperlink ref="X1413" r:id="rId267" xr:uid="{00000000-0004-0000-0000-00000A010000}"/>
    <hyperlink ref="X1414" r:id="rId268" xr:uid="{00000000-0004-0000-0000-00000B010000}"/>
    <hyperlink ref="X1415" r:id="rId269" xr:uid="{00000000-0004-0000-0000-00000C010000}"/>
    <hyperlink ref="X1416" r:id="rId270" xr:uid="{00000000-0004-0000-0000-00000D010000}"/>
    <hyperlink ref="X1417" r:id="rId271" xr:uid="{00000000-0004-0000-0000-00000E010000}"/>
    <hyperlink ref="X1418" r:id="rId272" xr:uid="{00000000-0004-0000-0000-00000F010000}"/>
    <hyperlink ref="X1419" r:id="rId273" xr:uid="{00000000-0004-0000-0000-000010010000}"/>
    <hyperlink ref="X1420" r:id="rId274" xr:uid="{00000000-0004-0000-0000-000011010000}"/>
    <hyperlink ref="X1421" r:id="rId275" xr:uid="{00000000-0004-0000-0000-000012010000}"/>
    <hyperlink ref="X1422" r:id="rId276" xr:uid="{00000000-0004-0000-0000-000013010000}"/>
    <hyperlink ref="X1423" r:id="rId277" xr:uid="{00000000-0004-0000-0000-000014010000}"/>
    <hyperlink ref="X1424" r:id="rId278" xr:uid="{00000000-0004-0000-0000-000015010000}"/>
    <hyperlink ref="X1425" r:id="rId279" xr:uid="{00000000-0004-0000-0000-000016010000}"/>
    <hyperlink ref="X1426" r:id="rId280" xr:uid="{00000000-0004-0000-0000-000017010000}"/>
    <hyperlink ref="X1427" r:id="rId281" xr:uid="{00000000-0004-0000-0000-000018010000}"/>
    <hyperlink ref="X1428" r:id="rId282" xr:uid="{00000000-0004-0000-0000-000019010000}"/>
    <hyperlink ref="X1429" r:id="rId283" xr:uid="{00000000-0004-0000-0000-00001A010000}"/>
    <hyperlink ref="X1430" r:id="rId284" xr:uid="{00000000-0004-0000-0000-00001B010000}"/>
    <hyperlink ref="X1431" r:id="rId285" xr:uid="{00000000-0004-0000-0000-00001C010000}"/>
    <hyperlink ref="X1432" r:id="rId286" xr:uid="{00000000-0004-0000-0000-00001D010000}"/>
    <hyperlink ref="X1433" r:id="rId287" xr:uid="{00000000-0004-0000-0000-00001E010000}"/>
    <hyperlink ref="X1434" r:id="rId288" xr:uid="{00000000-0004-0000-0000-00001F010000}"/>
    <hyperlink ref="X1435" r:id="rId289" xr:uid="{00000000-0004-0000-0000-000020010000}"/>
    <hyperlink ref="X1436" r:id="rId290" xr:uid="{00000000-0004-0000-0000-000021010000}"/>
    <hyperlink ref="X1437" r:id="rId291" xr:uid="{00000000-0004-0000-0000-000022010000}"/>
    <hyperlink ref="X1438" r:id="rId292" xr:uid="{00000000-0004-0000-0000-000023010000}"/>
    <hyperlink ref="X1439" r:id="rId293" xr:uid="{00000000-0004-0000-0000-000024010000}"/>
    <hyperlink ref="X1440" r:id="rId294" xr:uid="{00000000-0004-0000-0000-000025010000}"/>
    <hyperlink ref="X1441" r:id="rId295" xr:uid="{00000000-0004-0000-0000-000026010000}"/>
    <hyperlink ref="X1442" r:id="rId296" xr:uid="{00000000-0004-0000-0000-000027010000}"/>
    <hyperlink ref="X1443" r:id="rId297" xr:uid="{00000000-0004-0000-0000-000028010000}"/>
    <hyperlink ref="X1444" r:id="rId298" xr:uid="{00000000-0004-0000-0000-000029010000}"/>
    <hyperlink ref="X1445" r:id="rId299" xr:uid="{00000000-0004-0000-0000-00002A010000}"/>
    <hyperlink ref="X1446" r:id="rId300" xr:uid="{00000000-0004-0000-0000-00002B010000}"/>
    <hyperlink ref="X1447" r:id="rId301" xr:uid="{00000000-0004-0000-0000-00002C010000}"/>
    <hyperlink ref="X1448" r:id="rId302" xr:uid="{00000000-0004-0000-0000-00002D010000}"/>
    <hyperlink ref="X1449" r:id="rId303" xr:uid="{00000000-0004-0000-0000-00002E010000}"/>
    <hyperlink ref="X1450" r:id="rId304" xr:uid="{00000000-0004-0000-0000-00002F010000}"/>
    <hyperlink ref="X1451" r:id="rId305" xr:uid="{00000000-0004-0000-0000-000030010000}"/>
    <hyperlink ref="X1452" r:id="rId306" xr:uid="{00000000-0004-0000-0000-000031010000}"/>
    <hyperlink ref="X1453" r:id="rId307" xr:uid="{00000000-0004-0000-0000-000032010000}"/>
    <hyperlink ref="X1454" r:id="rId308" xr:uid="{00000000-0004-0000-0000-000033010000}"/>
    <hyperlink ref="X1455" r:id="rId309" xr:uid="{00000000-0004-0000-0000-000034010000}"/>
    <hyperlink ref="X1456" r:id="rId310" xr:uid="{00000000-0004-0000-0000-000035010000}"/>
    <hyperlink ref="X1457" r:id="rId311" xr:uid="{00000000-0004-0000-0000-000036010000}"/>
    <hyperlink ref="X1458" r:id="rId312" xr:uid="{00000000-0004-0000-0000-000037010000}"/>
    <hyperlink ref="X1459" r:id="rId313" xr:uid="{00000000-0004-0000-0000-000038010000}"/>
    <hyperlink ref="X1460" r:id="rId314" xr:uid="{00000000-0004-0000-0000-000039010000}"/>
    <hyperlink ref="X1461" r:id="rId315" xr:uid="{00000000-0004-0000-0000-00003A010000}"/>
    <hyperlink ref="X1462" r:id="rId316" xr:uid="{00000000-0004-0000-0000-00003B010000}"/>
    <hyperlink ref="X1463" r:id="rId317" xr:uid="{00000000-0004-0000-0000-00003C010000}"/>
    <hyperlink ref="X1464" r:id="rId318" xr:uid="{00000000-0004-0000-0000-00003D010000}"/>
    <hyperlink ref="X1465" r:id="rId319" xr:uid="{00000000-0004-0000-0000-00003E010000}"/>
    <hyperlink ref="X1466" r:id="rId320" xr:uid="{00000000-0004-0000-0000-00003F010000}"/>
    <hyperlink ref="X1467" r:id="rId321" xr:uid="{00000000-0004-0000-0000-000040010000}"/>
    <hyperlink ref="X1468" r:id="rId322" xr:uid="{00000000-0004-0000-0000-000041010000}"/>
    <hyperlink ref="X1469" r:id="rId323" xr:uid="{00000000-0004-0000-0000-000042010000}"/>
    <hyperlink ref="X1470" r:id="rId324" xr:uid="{00000000-0004-0000-0000-000043010000}"/>
    <hyperlink ref="X1471" r:id="rId325" xr:uid="{00000000-0004-0000-0000-000044010000}"/>
    <hyperlink ref="X1472" r:id="rId326" xr:uid="{00000000-0004-0000-0000-000045010000}"/>
    <hyperlink ref="X1473" r:id="rId327" xr:uid="{00000000-0004-0000-0000-000046010000}"/>
    <hyperlink ref="X1474" r:id="rId328" xr:uid="{00000000-0004-0000-0000-000047010000}"/>
    <hyperlink ref="X1475" r:id="rId329" xr:uid="{00000000-0004-0000-0000-000048010000}"/>
    <hyperlink ref="X1476" r:id="rId330" xr:uid="{00000000-0004-0000-0000-000049010000}"/>
    <hyperlink ref="X1477" r:id="rId331" xr:uid="{00000000-0004-0000-0000-00004A010000}"/>
    <hyperlink ref="X1478" r:id="rId332" xr:uid="{00000000-0004-0000-0000-00004B010000}"/>
    <hyperlink ref="X1479" r:id="rId333" xr:uid="{00000000-0004-0000-0000-00004C010000}"/>
    <hyperlink ref="X1480" r:id="rId334" xr:uid="{00000000-0004-0000-0000-00004D010000}"/>
    <hyperlink ref="X1481" r:id="rId335" xr:uid="{00000000-0004-0000-0000-00004E010000}"/>
    <hyperlink ref="X1482" r:id="rId336" xr:uid="{00000000-0004-0000-0000-00004F010000}"/>
    <hyperlink ref="X1483" r:id="rId337" xr:uid="{00000000-0004-0000-0000-000050010000}"/>
    <hyperlink ref="X1484" r:id="rId338" xr:uid="{00000000-0004-0000-0000-000051010000}"/>
    <hyperlink ref="X1485" r:id="rId339" xr:uid="{00000000-0004-0000-0000-000052010000}"/>
    <hyperlink ref="X1486" r:id="rId340" xr:uid="{00000000-0004-0000-0000-000053010000}"/>
    <hyperlink ref="X1487" r:id="rId341" xr:uid="{00000000-0004-0000-0000-000054010000}"/>
    <hyperlink ref="X1488" r:id="rId342" xr:uid="{00000000-0004-0000-0000-000055010000}"/>
    <hyperlink ref="X1489" r:id="rId343" xr:uid="{00000000-0004-0000-0000-000056010000}"/>
    <hyperlink ref="X1490" r:id="rId344" xr:uid="{00000000-0004-0000-0000-000057010000}"/>
    <hyperlink ref="X1491" r:id="rId345" xr:uid="{00000000-0004-0000-0000-000058010000}"/>
    <hyperlink ref="X1492" r:id="rId346" xr:uid="{00000000-0004-0000-0000-000059010000}"/>
    <hyperlink ref="X1493" r:id="rId347" xr:uid="{00000000-0004-0000-0000-00005A010000}"/>
    <hyperlink ref="X1494" r:id="rId348" xr:uid="{00000000-0004-0000-0000-00005B010000}"/>
    <hyperlink ref="X1495" r:id="rId349" xr:uid="{00000000-0004-0000-0000-00005C010000}"/>
    <hyperlink ref="X1496" r:id="rId350" xr:uid="{00000000-0004-0000-0000-00005D010000}"/>
    <hyperlink ref="X1497" r:id="rId351" xr:uid="{00000000-0004-0000-0000-00005E010000}"/>
    <hyperlink ref="X1498" r:id="rId352" xr:uid="{00000000-0004-0000-0000-00005F010000}"/>
    <hyperlink ref="X1499" r:id="rId353" xr:uid="{00000000-0004-0000-0000-000060010000}"/>
    <hyperlink ref="X1500" r:id="rId354" xr:uid="{00000000-0004-0000-0000-000061010000}"/>
    <hyperlink ref="X1501" r:id="rId355" xr:uid="{00000000-0004-0000-0000-000062010000}"/>
    <hyperlink ref="X1502" r:id="rId356" xr:uid="{00000000-0004-0000-0000-000063010000}"/>
    <hyperlink ref="X1503" r:id="rId357" xr:uid="{00000000-0004-0000-0000-000064010000}"/>
    <hyperlink ref="X1504" r:id="rId358" xr:uid="{00000000-0004-0000-0000-000065010000}"/>
    <hyperlink ref="X1505" r:id="rId359" xr:uid="{00000000-0004-0000-0000-000066010000}"/>
    <hyperlink ref="X1506" r:id="rId360" xr:uid="{00000000-0004-0000-0000-000067010000}"/>
    <hyperlink ref="X1507" r:id="rId361" xr:uid="{00000000-0004-0000-0000-000068010000}"/>
    <hyperlink ref="X1508" r:id="rId362" xr:uid="{00000000-0004-0000-0000-000069010000}"/>
    <hyperlink ref="X1509" r:id="rId363" xr:uid="{00000000-0004-0000-0000-00006A010000}"/>
    <hyperlink ref="X1510" r:id="rId364" xr:uid="{00000000-0004-0000-0000-00006B010000}"/>
    <hyperlink ref="X1511" r:id="rId365" xr:uid="{00000000-0004-0000-0000-00006C010000}"/>
    <hyperlink ref="X1512" r:id="rId366" xr:uid="{00000000-0004-0000-0000-00006D010000}"/>
    <hyperlink ref="X1513" r:id="rId367" xr:uid="{00000000-0004-0000-0000-00006E010000}"/>
    <hyperlink ref="X1514" r:id="rId368" xr:uid="{00000000-0004-0000-0000-00006F010000}"/>
    <hyperlink ref="X1515" r:id="rId369" xr:uid="{00000000-0004-0000-0000-000070010000}"/>
    <hyperlink ref="X1516" r:id="rId370" xr:uid="{00000000-0004-0000-0000-000071010000}"/>
    <hyperlink ref="X1517" r:id="rId371" xr:uid="{00000000-0004-0000-0000-000072010000}"/>
    <hyperlink ref="X1518" r:id="rId372" xr:uid="{00000000-0004-0000-0000-000073010000}"/>
    <hyperlink ref="X1519" r:id="rId373" xr:uid="{00000000-0004-0000-0000-000074010000}"/>
    <hyperlink ref="X1520" r:id="rId374" xr:uid="{00000000-0004-0000-0000-000075010000}"/>
    <hyperlink ref="X1521" r:id="rId375" xr:uid="{00000000-0004-0000-0000-000076010000}"/>
    <hyperlink ref="X1522" r:id="rId376" xr:uid="{00000000-0004-0000-0000-000077010000}"/>
    <hyperlink ref="X1523" r:id="rId377" xr:uid="{00000000-0004-0000-0000-000078010000}"/>
    <hyperlink ref="X1524" r:id="rId378" xr:uid="{00000000-0004-0000-0000-000079010000}"/>
    <hyperlink ref="X1525" r:id="rId379" xr:uid="{00000000-0004-0000-0000-00007A010000}"/>
    <hyperlink ref="X1526" r:id="rId380" xr:uid="{00000000-0004-0000-0000-00007B010000}"/>
    <hyperlink ref="X1527" r:id="rId381" xr:uid="{00000000-0004-0000-0000-00007C010000}"/>
    <hyperlink ref="X1528" r:id="rId382" xr:uid="{00000000-0004-0000-0000-00007D010000}"/>
    <hyperlink ref="X1529" r:id="rId383" xr:uid="{00000000-0004-0000-0000-00007E010000}"/>
    <hyperlink ref="X1530" r:id="rId384" xr:uid="{00000000-0004-0000-0000-00007F010000}"/>
    <hyperlink ref="X1531" r:id="rId385" xr:uid="{00000000-0004-0000-0000-000080010000}"/>
    <hyperlink ref="X1532" r:id="rId386" xr:uid="{00000000-0004-0000-0000-000081010000}"/>
    <hyperlink ref="X1533" r:id="rId387" xr:uid="{00000000-0004-0000-0000-000082010000}"/>
    <hyperlink ref="X1534" r:id="rId388" xr:uid="{00000000-0004-0000-0000-000083010000}"/>
    <hyperlink ref="X1535" r:id="rId389" xr:uid="{00000000-0004-0000-0000-000084010000}"/>
    <hyperlink ref="X1536" r:id="rId390" xr:uid="{00000000-0004-0000-0000-000085010000}"/>
    <hyperlink ref="X1537" r:id="rId391" xr:uid="{00000000-0004-0000-0000-000086010000}"/>
    <hyperlink ref="X1538" r:id="rId392" xr:uid="{00000000-0004-0000-0000-000087010000}"/>
    <hyperlink ref="X1539" r:id="rId393" xr:uid="{00000000-0004-0000-0000-000088010000}"/>
    <hyperlink ref="X1540" r:id="rId394" xr:uid="{00000000-0004-0000-0000-000089010000}"/>
    <hyperlink ref="X1541" r:id="rId395" xr:uid="{00000000-0004-0000-0000-00008A010000}"/>
    <hyperlink ref="X1542" r:id="rId396" xr:uid="{00000000-0004-0000-0000-00008B010000}"/>
    <hyperlink ref="X1543" r:id="rId397" xr:uid="{00000000-0004-0000-0000-00008C010000}"/>
    <hyperlink ref="X1544" r:id="rId398" xr:uid="{00000000-0004-0000-0000-00008D010000}"/>
    <hyperlink ref="X1545" r:id="rId399" xr:uid="{00000000-0004-0000-0000-00008E010000}"/>
    <hyperlink ref="X1546" r:id="rId400" xr:uid="{00000000-0004-0000-0000-00008F010000}"/>
    <hyperlink ref="X1547" r:id="rId401" xr:uid="{00000000-0004-0000-0000-000090010000}"/>
    <hyperlink ref="X1548" r:id="rId402" xr:uid="{00000000-0004-0000-0000-000091010000}"/>
    <hyperlink ref="X1549" r:id="rId403" xr:uid="{00000000-0004-0000-0000-000092010000}"/>
    <hyperlink ref="X1550" r:id="rId404" xr:uid="{00000000-0004-0000-0000-000093010000}"/>
    <hyperlink ref="X1551" r:id="rId405" xr:uid="{00000000-0004-0000-0000-000094010000}"/>
    <hyperlink ref="X1552" r:id="rId406" xr:uid="{00000000-0004-0000-0000-000095010000}"/>
    <hyperlink ref="X1553" r:id="rId407" xr:uid="{00000000-0004-0000-0000-000096010000}"/>
    <hyperlink ref="X1554" r:id="rId408" xr:uid="{00000000-0004-0000-0000-000097010000}"/>
    <hyperlink ref="X1555" r:id="rId409" xr:uid="{00000000-0004-0000-0000-000098010000}"/>
    <hyperlink ref="X1556" r:id="rId410" xr:uid="{00000000-0004-0000-0000-000099010000}"/>
    <hyperlink ref="X1557" r:id="rId411" xr:uid="{00000000-0004-0000-0000-00009A010000}"/>
    <hyperlink ref="X1558" r:id="rId412" xr:uid="{00000000-0004-0000-0000-00009B010000}"/>
    <hyperlink ref="X1559" r:id="rId413" xr:uid="{00000000-0004-0000-0000-00009C010000}"/>
    <hyperlink ref="X1560" r:id="rId414" xr:uid="{00000000-0004-0000-0000-00009D010000}"/>
    <hyperlink ref="X1561" r:id="rId415" xr:uid="{00000000-0004-0000-0000-00009E010000}"/>
    <hyperlink ref="X1562" r:id="rId416" xr:uid="{00000000-0004-0000-0000-00009F010000}"/>
    <hyperlink ref="X1563" r:id="rId417" xr:uid="{00000000-0004-0000-0000-0000A0010000}"/>
    <hyperlink ref="X1564" r:id="rId418" xr:uid="{00000000-0004-0000-0000-0000A1010000}"/>
    <hyperlink ref="X1565" r:id="rId419" xr:uid="{00000000-0004-0000-0000-0000A2010000}"/>
    <hyperlink ref="X1566" r:id="rId420" xr:uid="{00000000-0004-0000-0000-0000A3010000}"/>
    <hyperlink ref="X1567" r:id="rId421" xr:uid="{00000000-0004-0000-0000-0000A4010000}"/>
    <hyperlink ref="X1568" r:id="rId422" xr:uid="{00000000-0004-0000-0000-0000A5010000}"/>
    <hyperlink ref="X1569" r:id="rId423" xr:uid="{00000000-0004-0000-0000-0000A6010000}"/>
    <hyperlink ref="X1570" r:id="rId424" xr:uid="{00000000-0004-0000-0000-0000A7010000}"/>
    <hyperlink ref="X1571" r:id="rId425" xr:uid="{00000000-0004-0000-0000-0000A8010000}"/>
    <hyperlink ref="X1572" r:id="rId426" xr:uid="{00000000-0004-0000-0000-0000A9010000}"/>
    <hyperlink ref="X1573" r:id="rId427" xr:uid="{00000000-0004-0000-0000-0000AA010000}"/>
    <hyperlink ref="X1574" r:id="rId428" xr:uid="{00000000-0004-0000-0000-0000AB010000}"/>
    <hyperlink ref="X1575" r:id="rId429" xr:uid="{00000000-0004-0000-0000-0000AC010000}"/>
    <hyperlink ref="X1576" r:id="rId430" xr:uid="{00000000-0004-0000-0000-0000AD010000}"/>
    <hyperlink ref="X1577" r:id="rId431" xr:uid="{00000000-0004-0000-0000-0000AE010000}"/>
    <hyperlink ref="X1578" r:id="rId432" xr:uid="{00000000-0004-0000-0000-0000AF010000}"/>
    <hyperlink ref="X1579" r:id="rId433" xr:uid="{00000000-0004-0000-0000-0000B0010000}"/>
    <hyperlink ref="X1580" r:id="rId434" xr:uid="{00000000-0004-0000-0000-0000B1010000}"/>
    <hyperlink ref="X1581" r:id="rId435" xr:uid="{00000000-0004-0000-0000-0000B2010000}"/>
    <hyperlink ref="X1582" r:id="rId436" xr:uid="{00000000-0004-0000-0000-0000B3010000}"/>
    <hyperlink ref="X1583" r:id="rId437" xr:uid="{00000000-0004-0000-0000-0000B4010000}"/>
    <hyperlink ref="X1584" r:id="rId438" xr:uid="{00000000-0004-0000-0000-0000B5010000}"/>
    <hyperlink ref="X1585" r:id="rId439" xr:uid="{00000000-0004-0000-0000-0000B6010000}"/>
    <hyperlink ref="X1586" r:id="rId440" xr:uid="{00000000-0004-0000-0000-0000B7010000}"/>
    <hyperlink ref="X1587" r:id="rId441" xr:uid="{00000000-0004-0000-0000-0000B8010000}"/>
    <hyperlink ref="X1588" r:id="rId442" xr:uid="{00000000-0004-0000-0000-0000B9010000}"/>
    <hyperlink ref="X1589" r:id="rId443" xr:uid="{00000000-0004-0000-0000-0000BA010000}"/>
    <hyperlink ref="X1590" r:id="rId444" xr:uid="{00000000-0004-0000-0000-0000BB010000}"/>
    <hyperlink ref="X1591" r:id="rId445" xr:uid="{00000000-0004-0000-0000-0000BC010000}"/>
    <hyperlink ref="X1592" r:id="rId446" xr:uid="{00000000-0004-0000-0000-0000BD010000}"/>
    <hyperlink ref="X1593" r:id="rId447" xr:uid="{00000000-0004-0000-0000-0000BE010000}"/>
    <hyperlink ref="X1594" r:id="rId448" xr:uid="{00000000-0004-0000-0000-0000BF010000}"/>
    <hyperlink ref="X1595" r:id="rId449" xr:uid="{00000000-0004-0000-0000-0000C0010000}"/>
    <hyperlink ref="X1596" r:id="rId450" xr:uid="{00000000-0004-0000-0000-0000C1010000}"/>
    <hyperlink ref="X1597" r:id="rId451" xr:uid="{00000000-0004-0000-0000-0000C2010000}"/>
    <hyperlink ref="X1598" r:id="rId452" xr:uid="{00000000-0004-0000-0000-0000C3010000}"/>
    <hyperlink ref="X1599" r:id="rId453" xr:uid="{00000000-0004-0000-0000-0000C4010000}"/>
    <hyperlink ref="X1600" r:id="rId454" xr:uid="{00000000-0004-0000-0000-0000C5010000}"/>
    <hyperlink ref="X1601" r:id="rId455" xr:uid="{00000000-0004-0000-0000-0000C6010000}"/>
    <hyperlink ref="X1602" r:id="rId456" xr:uid="{00000000-0004-0000-0000-0000C7010000}"/>
    <hyperlink ref="X1603" r:id="rId457" xr:uid="{00000000-0004-0000-0000-0000C8010000}"/>
    <hyperlink ref="X1604" r:id="rId458" xr:uid="{00000000-0004-0000-0000-0000C9010000}"/>
    <hyperlink ref="X1605" r:id="rId459" xr:uid="{00000000-0004-0000-0000-0000CA010000}"/>
    <hyperlink ref="X1606" r:id="rId460" xr:uid="{00000000-0004-0000-0000-0000CB010000}"/>
    <hyperlink ref="X1607" r:id="rId461" xr:uid="{00000000-0004-0000-0000-0000CC010000}"/>
    <hyperlink ref="X1608" r:id="rId462" xr:uid="{00000000-0004-0000-0000-0000CD010000}"/>
    <hyperlink ref="X1609" r:id="rId463" xr:uid="{00000000-0004-0000-0000-0000CE010000}"/>
    <hyperlink ref="X1610" r:id="rId464" xr:uid="{00000000-0004-0000-0000-0000CF010000}"/>
    <hyperlink ref="X1611" r:id="rId465" xr:uid="{00000000-0004-0000-0000-0000D0010000}"/>
    <hyperlink ref="X1612" r:id="rId466" xr:uid="{00000000-0004-0000-0000-0000D1010000}"/>
    <hyperlink ref="X1613" r:id="rId467" xr:uid="{00000000-0004-0000-0000-0000D2010000}"/>
    <hyperlink ref="X1614" r:id="rId468" xr:uid="{00000000-0004-0000-0000-0000D3010000}"/>
    <hyperlink ref="X1615" r:id="rId469" xr:uid="{00000000-0004-0000-0000-0000D4010000}"/>
    <hyperlink ref="X1616" r:id="rId470" xr:uid="{00000000-0004-0000-0000-0000D5010000}"/>
    <hyperlink ref="X1617" r:id="rId471" xr:uid="{00000000-0004-0000-0000-0000D6010000}"/>
    <hyperlink ref="X1618" r:id="rId472" xr:uid="{00000000-0004-0000-0000-0000D7010000}"/>
    <hyperlink ref="X1619" r:id="rId473" xr:uid="{00000000-0004-0000-0000-0000D8010000}"/>
    <hyperlink ref="X1620" r:id="rId474" xr:uid="{00000000-0004-0000-0000-0000D9010000}"/>
    <hyperlink ref="X1621" r:id="rId475" xr:uid="{00000000-0004-0000-0000-0000DA010000}"/>
    <hyperlink ref="X1622" r:id="rId476" xr:uid="{00000000-0004-0000-0000-0000DB010000}"/>
    <hyperlink ref="X1623" r:id="rId477" xr:uid="{00000000-0004-0000-0000-0000DC010000}"/>
    <hyperlink ref="X14" r:id="rId478" xr:uid="{1B6E146C-DE38-3C49-9EB0-48ED3FD3D92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A6" sqref="A6"/>
    </sheetView>
  </sheetViews>
  <sheetFormatPr baseColWidth="10" defaultRowHeight="16"/>
  <cols>
    <col min="1" max="1" width="19.1640625" bestFit="1" customWidth="1"/>
    <col min="2" max="2" width="118.6640625" bestFit="1" customWidth="1"/>
  </cols>
  <sheetData>
    <row r="1" spans="1:2">
      <c r="A1" s="19" t="s">
        <v>9942</v>
      </c>
      <c r="B1" s="19" t="s">
        <v>9943</v>
      </c>
    </row>
    <row r="2" spans="1:2">
      <c r="A2" t="s">
        <v>9237</v>
      </c>
      <c r="B2" t="s">
        <v>9944</v>
      </c>
    </row>
    <row r="3" spans="1:2">
      <c r="A3" t="s">
        <v>9249</v>
      </c>
      <c r="B3" t="s">
        <v>9945</v>
      </c>
    </row>
    <row r="4" spans="1:2">
      <c r="A4" t="s">
        <v>9178</v>
      </c>
      <c r="B4" t="s">
        <v>9946</v>
      </c>
    </row>
    <row r="5" spans="1:2">
      <c r="A5" t="s">
        <v>9950</v>
      </c>
      <c r="B5" t="s">
        <v>9947</v>
      </c>
    </row>
    <row r="6" spans="1:2">
      <c r="A6" t="s">
        <v>9948</v>
      </c>
      <c r="B6" t="s">
        <v>9949</v>
      </c>
    </row>
    <row r="7" spans="1:2">
      <c r="A7" t="s">
        <v>9558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PsycInfo2</vt:lpstr>
      <vt:lpstr>Exclusion</vt:lpstr>
      <vt:lpstr>PsycInfo2!IntegrationReviewEmpirical2021_02_03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2021-02-04T16:54:24Z</dcterms:created>
  <dcterms:modified xsi:type="dcterms:W3CDTF">2021-02-12T16:07:10Z</dcterms:modified>
</cp:coreProperties>
</file>