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anov\Desktop\"/>
    </mc:Choice>
  </mc:AlternateContent>
  <xr:revisionPtr revIDLastSave="0" documentId="13_ncr:1_{AF051C45-BF69-4255-A41E-CD58469A559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AN - TIR - BC -PRD" sheetId="1" r:id="rId1"/>
    <sheet name="VAC - CAUE - MCM - CC" sheetId="3" r:id="rId2"/>
    <sheet name="ACCIONES" sheetId="4" r:id="rId3"/>
    <sheet name="BONOS -AMERICANO" sheetId="5" r:id="rId4"/>
    <sheet name="BONOS - ALEMAN" sheetId="6" r:id="rId5"/>
    <sheet name="BANOS - FRANCES" sheetId="7" r:id="rId6"/>
    <sheet name="WACC" sheetId="8" r:id="rId7"/>
    <sheet name="CONVERSIONE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9" l="1"/>
  <c r="M26" i="9"/>
  <c r="N69" i="9"/>
  <c r="M69" i="9"/>
  <c r="J69" i="9" s="1"/>
  <c r="J67" i="9" s="1"/>
  <c r="L69" i="9"/>
  <c r="K69" i="9"/>
  <c r="G69" i="9"/>
  <c r="F69" i="9"/>
  <c r="D69" i="9"/>
  <c r="C69" i="9"/>
  <c r="B69" i="9"/>
  <c r="F67" i="9"/>
  <c r="O56" i="9"/>
  <c r="N56" i="9"/>
  <c r="M56" i="9"/>
  <c r="K56" i="9"/>
  <c r="J56" i="9" s="1"/>
  <c r="G56" i="9"/>
  <c r="B56" i="9" s="1"/>
  <c r="F56" i="9"/>
  <c r="E56" i="9"/>
  <c r="C56" i="9"/>
  <c r="M54" i="9"/>
  <c r="E54" i="9"/>
  <c r="N41" i="9"/>
  <c r="M41" i="9"/>
  <c r="F41" i="9"/>
  <c r="E41" i="9"/>
  <c r="D41" i="9"/>
  <c r="B41" i="9"/>
  <c r="B39" i="9" s="1"/>
  <c r="D39" i="9"/>
  <c r="N28" i="9"/>
  <c r="K28" i="9"/>
  <c r="D28" i="9"/>
  <c r="C28" i="9"/>
  <c r="B28" i="9"/>
  <c r="E12" i="9"/>
  <c r="C12" i="9"/>
  <c r="B12" i="9"/>
  <c r="B10" i="9" s="1"/>
  <c r="R16" i="1"/>
  <c r="P16" i="1"/>
  <c r="O16" i="1" s="1"/>
  <c r="O14" i="1" s="1"/>
  <c r="J41" i="9" l="1"/>
  <c r="J39" i="9" s="1"/>
  <c r="M28" i="9"/>
  <c r="J28" i="9" s="1"/>
  <c r="J26" i="9" s="1"/>
  <c r="E23" i="1"/>
  <c r="E25" i="1" s="1"/>
  <c r="M15" i="3"/>
  <c r="H16" i="3"/>
  <c r="H21" i="3" s="1"/>
  <c r="H26" i="3"/>
  <c r="D12" i="8"/>
  <c r="C10" i="8"/>
  <c r="C11" i="8"/>
  <c r="C29" i="8"/>
  <c r="C22" i="8"/>
  <c r="E26" i="8"/>
  <c r="K14" i="8"/>
  <c r="E22" i="5"/>
  <c r="E27" i="8"/>
  <c r="E25" i="8"/>
  <c r="E17" i="8"/>
  <c r="E18" i="8"/>
  <c r="E20" i="8"/>
  <c r="E16" i="8"/>
  <c r="C19" i="8"/>
  <c r="E19" i="8" s="1"/>
  <c r="L29" i="5"/>
  <c r="L28" i="5"/>
  <c r="L27" i="5"/>
  <c r="L26" i="5"/>
  <c r="D72" i="5"/>
  <c r="D68" i="5"/>
  <c r="D66" i="5"/>
  <c r="D35" i="5"/>
  <c r="D47" i="5" s="1"/>
  <c r="D59" i="5" s="1"/>
  <c r="D74" i="5" s="1"/>
  <c r="D41" i="6"/>
  <c r="D28" i="6"/>
  <c r="I15" i="5"/>
  <c r="D40" i="5" s="1"/>
  <c r="D43" i="5" s="1"/>
  <c r="D45" i="5" s="1"/>
  <c r="I16" i="5"/>
  <c r="L22" i="5"/>
  <c r="F22" i="5"/>
  <c r="D22" i="5"/>
  <c r="D30" i="6"/>
  <c r="D44" i="7"/>
  <c r="D71" i="7"/>
  <c r="D70" i="7"/>
  <c r="K22" i="7"/>
  <c r="K30" i="7" s="1"/>
  <c r="L22" i="6"/>
  <c r="F22" i="7"/>
  <c r="E22" i="7"/>
  <c r="D22" i="7"/>
  <c r="I16" i="7"/>
  <c r="I15" i="7"/>
  <c r="I15" i="6"/>
  <c r="I16" i="6"/>
  <c r="F22" i="6"/>
  <c r="E22" i="6"/>
  <c r="D22" i="6"/>
  <c r="K9" i="1"/>
  <c r="F22" i="1"/>
  <c r="L10" i="1" s="1"/>
  <c r="E21" i="1"/>
  <c r="D25" i="4"/>
  <c r="Q13" i="4"/>
  <c r="L27" i="4"/>
  <c r="D26" i="4"/>
  <c r="R13" i="4"/>
  <c r="M13" i="4"/>
  <c r="J13" i="4"/>
  <c r="D44" i="4"/>
  <c r="D35" i="4"/>
  <c r="L35" i="3"/>
  <c r="N35" i="3"/>
  <c r="O35" i="3"/>
  <c r="O28" i="3"/>
  <c r="N28" i="3"/>
  <c r="I15" i="3"/>
  <c r="H15" i="3"/>
  <c r="I14" i="3"/>
  <c r="H14" i="3"/>
  <c r="L28" i="3"/>
  <c r="C15" i="3"/>
  <c r="M11" i="3"/>
  <c r="M19" i="3" s="1"/>
  <c r="N9" i="3"/>
  <c r="N15" i="3" s="1"/>
  <c r="I10" i="3"/>
  <c r="B37" i="3"/>
  <c r="B26" i="3"/>
  <c r="D10" i="3"/>
  <c r="D11" i="3"/>
  <c r="C16" i="3"/>
  <c r="K14" i="1"/>
  <c r="K15" i="1"/>
  <c r="L11" i="1"/>
  <c r="L12" i="1"/>
  <c r="L14" i="1"/>
  <c r="K10" i="1"/>
  <c r="K11" i="1"/>
  <c r="K12" i="1"/>
  <c r="K13" i="1"/>
  <c r="K16" i="1"/>
  <c r="K17" i="1"/>
  <c r="K18" i="1"/>
  <c r="L8" i="1"/>
  <c r="K8" i="1"/>
  <c r="I9" i="1"/>
  <c r="I10" i="1"/>
  <c r="I11" i="1"/>
  <c r="I12" i="1"/>
  <c r="I13" i="1"/>
  <c r="I14" i="1"/>
  <c r="I15" i="1"/>
  <c r="I16" i="1"/>
  <c r="I17" i="1"/>
  <c r="I18" i="1"/>
  <c r="H10" i="1"/>
  <c r="H11" i="1"/>
  <c r="H12" i="1"/>
  <c r="H13" i="1"/>
  <c r="H14" i="1"/>
  <c r="H15" i="1"/>
  <c r="H16" i="1"/>
  <c r="H17" i="1"/>
  <c r="H18" i="1"/>
  <c r="H9" i="1"/>
  <c r="E28" i="1" s="1"/>
  <c r="H8" i="1"/>
  <c r="F23" i="1" l="1"/>
  <c r="F25" i="1" s="1"/>
  <c r="L18" i="1"/>
  <c r="L17" i="1"/>
  <c r="L16" i="1"/>
  <c r="L15" i="1"/>
  <c r="L13" i="1"/>
  <c r="F40" i="1" s="1"/>
  <c r="E31" i="1"/>
  <c r="P28" i="3"/>
  <c r="I26" i="3"/>
  <c r="I27" i="3" s="1"/>
  <c r="I28" i="3" s="1"/>
  <c r="P35" i="3"/>
  <c r="N16" i="3"/>
  <c r="N21" i="3" s="1"/>
  <c r="M18" i="3"/>
  <c r="M35" i="3" s="1"/>
  <c r="D26" i="3"/>
  <c r="C12" i="8"/>
  <c r="D11" i="8"/>
  <c r="D10" i="8"/>
  <c r="L32" i="5"/>
  <c r="D28" i="5"/>
  <c r="D31" i="5" s="1"/>
  <c r="D33" i="5" s="1"/>
  <c r="D52" i="5"/>
  <c r="D55" i="5" s="1"/>
  <c r="D57" i="5" s="1"/>
  <c r="D64" i="5"/>
  <c r="D70" i="5" s="1"/>
  <c r="D23" i="5"/>
  <c r="J36" i="5" s="1"/>
  <c r="D28" i="7"/>
  <c r="D30" i="7"/>
  <c r="D33" i="7" s="1"/>
  <c r="K26" i="7" s="1"/>
  <c r="D23" i="7"/>
  <c r="D36" i="6"/>
  <c r="D23" i="6"/>
  <c r="F21" i="1"/>
  <c r="L9" i="1"/>
  <c r="F38" i="1" s="1"/>
  <c r="L19" i="4"/>
  <c r="L13" i="4"/>
  <c r="L21" i="4"/>
  <c r="O13" i="4"/>
  <c r="L20" i="4"/>
  <c r="K25" i="4" s="1"/>
  <c r="N19" i="3"/>
  <c r="N18" i="3"/>
  <c r="M28" i="3" s="1"/>
  <c r="M16" i="3"/>
  <c r="M21" i="3" s="1"/>
  <c r="M23" i="3" s="1"/>
  <c r="Q28" i="3" s="1"/>
  <c r="M29" i="3" s="1"/>
  <c r="H27" i="3"/>
  <c r="H28" i="3" s="1"/>
  <c r="C17" i="3"/>
  <c r="E26" i="3" s="1"/>
  <c r="C37" i="3"/>
  <c r="D37" i="3"/>
  <c r="I16" i="3"/>
  <c r="I21" i="3" s="1"/>
  <c r="D15" i="3"/>
  <c r="C26" i="3" s="1"/>
  <c r="D16" i="3"/>
  <c r="E37" i="1"/>
  <c r="F37" i="1"/>
  <c r="E40" i="1"/>
  <c r="E38" i="1"/>
  <c r="E39" i="1"/>
  <c r="E35" i="1"/>
  <c r="E42" i="1"/>
  <c r="F35" i="1"/>
  <c r="E41" i="1"/>
  <c r="E36" i="1"/>
  <c r="F28" i="1"/>
  <c r="F31" i="1"/>
  <c r="F36" i="1" l="1"/>
  <c r="F42" i="1"/>
  <c r="F41" i="1"/>
  <c r="F39" i="1"/>
  <c r="F50" i="1" s="1"/>
  <c r="E50" i="1"/>
  <c r="E56" i="1" s="1"/>
  <c r="C28" i="3"/>
  <c r="D43" i="6"/>
  <c r="D49" i="6" s="1"/>
  <c r="D32" i="7"/>
  <c r="D35" i="7" s="1"/>
  <c r="D32" i="6"/>
  <c r="D34" i="6" s="1"/>
  <c r="L26" i="6" s="1"/>
  <c r="I13" i="4"/>
  <c r="K24" i="4" s="1"/>
  <c r="N23" i="3"/>
  <c r="Q35" i="3" s="1"/>
  <c r="M36" i="3" s="1"/>
  <c r="D17" i="3"/>
  <c r="E37" i="3" s="1"/>
  <c r="C39" i="3" s="1"/>
  <c r="F56" i="1" l="1"/>
  <c r="D56" i="6"/>
  <c r="D62" i="6" s="1"/>
  <c r="D75" i="6" s="1"/>
  <c r="D54" i="6"/>
  <c r="D58" i="6" s="1"/>
  <c r="D60" i="6" s="1"/>
  <c r="L28" i="6" s="1"/>
  <c r="D45" i="6"/>
  <c r="D47" i="6" s="1"/>
  <c r="L27" i="6" s="1"/>
  <c r="D42" i="7"/>
  <c r="D40" i="7"/>
  <c r="D69" i="6"/>
  <c r="D79" i="6" s="1"/>
  <c r="D67" i="6"/>
  <c r="K18" i="4"/>
  <c r="D47" i="7" l="1"/>
  <c r="D45" i="7"/>
  <c r="K27" i="7" s="1"/>
  <c r="D71" i="6"/>
  <c r="D73" i="6" s="1"/>
  <c r="D52" i="7" l="1"/>
  <c r="D77" i="6"/>
  <c r="L29" i="6" s="1"/>
  <c r="L32" i="6" s="1"/>
  <c r="J36" i="6" s="1"/>
  <c r="D54" i="7"/>
  <c r="D57" i="7" l="1"/>
  <c r="K28" i="7" s="1"/>
  <c r="D56" i="7"/>
  <c r="D59" i="7" s="1"/>
  <c r="D66" i="7" l="1"/>
  <c r="D64" i="7"/>
  <c r="K29" i="7" l="1"/>
  <c r="K32" i="7" s="1"/>
  <c r="I36" i="7" s="1"/>
  <c r="D68" i="7"/>
  <c r="D73" i="7" s="1"/>
</calcChain>
</file>

<file path=xl/sharedStrings.xml><?xml version="1.0" encoding="utf-8"?>
<sst xmlns="http://schemas.openxmlformats.org/spreadsheetml/2006/main" count="690" uniqueCount="348">
  <si>
    <t>Año</t>
  </si>
  <si>
    <t>Fecha</t>
  </si>
  <si>
    <t>Tasa de Descuento (COK)</t>
  </si>
  <si>
    <t>Respuestas</t>
  </si>
  <si>
    <t>VAN (Valor Actual Neto)</t>
  </si>
  <si>
    <t>TIR (Tasa Interna de retorno)</t>
  </si>
  <si>
    <t>BC (Beneficio Costo)</t>
  </si>
  <si>
    <t>DATOS</t>
  </si>
  <si>
    <t>Suma de valores presentes del flujo de caja</t>
  </si>
  <si>
    <t>PRD</t>
  </si>
  <si>
    <t>Eje Y PROYECTO A</t>
  </si>
  <si>
    <t>Eje Y PROYECTO B</t>
  </si>
  <si>
    <r>
      <t xml:space="preserve">PRD (Periodo de Recuperación Descontado)             </t>
    </r>
    <r>
      <rPr>
        <b/>
        <sz val="12"/>
        <color rgb="FFFF0000"/>
        <rFont val="Times New Roman"/>
        <family val="1"/>
      </rPr>
      <t xml:space="preserve">EJE X es el </t>
    </r>
    <r>
      <rPr>
        <b/>
        <i/>
        <sz val="12"/>
        <color rgb="FFFF0000"/>
        <rFont val="Times New Roman"/>
        <family val="1"/>
      </rPr>
      <t>TIEMPO</t>
    </r>
  </si>
  <si>
    <t>X</t>
  </si>
  <si>
    <t>Punto 1:</t>
  </si>
  <si>
    <t>Punto 2:</t>
  </si>
  <si>
    <t>(X1, Y1) = (5; -315.10)</t>
  </si>
  <si>
    <t>(X2, Y2) = (6; 719.85)</t>
  </si>
  <si>
    <t>¿Encontrar el punto 3: (X3; 0) -&gt; (PRD; 0)?</t>
  </si>
  <si>
    <t>(X3, Y3) = ()</t>
  </si>
  <si>
    <t>(X2, Y2) = ()</t>
  </si>
  <si>
    <t>Pendiente (Y2 - Y1)/(X2 - X1):</t>
  </si>
  <si>
    <t>Pendiente (Y3 - Y2)/(X3 - X2) = PRD</t>
  </si>
  <si>
    <t>Convertimos a años</t>
  </si>
  <si>
    <t>Valor de Salvamento:</t>
  </si>
  <si>
    <t>Costo Inical:</t>
  </si>
  <si>
    <t>VAC con Tería de Rentas</t>
  </si>
  <si>
    <t>Tiempo de Vida Util</t>
  </si>
  <si>
    <t>Resultado de la aplicación de Teoría de Rentas</t>
  </si>
  <si>
    <t>Adicionamos el valor de salvamento</t>
  </si>
  <si>
    <t>Resultados VAC</t>
  </si>
  <si>
    <t>R</t>
  </si>
  <si>
    <t>VAC1</t>
  </si>
  <si>
    <t>Valor Actual de Costos VAC</t>
  </si>
  <si>
    <t>Valor de Salvataje de la máquina 2:</t>
  </si>
  <si>
    <t>Costo inicial</t>
  </si>
  <si>
    <t>x/(1+TEP)^n</t>
  </si>
  <si>
    <t>¿Cuál es el valor de salvataje de la máquina N°1, que hace que la decisión resulte ser
indiferente?</t>
  </si>
  <si>
    <t>Valor de Salvataje de la máquina 1:</t>
  </si>
  <si>
    <t>VAC2</t>
  </si>
  <si>
    <t>Teoría de Rentas M2</t>
  </si>
  <si>
    <t>Teoría de Rentas M1</t>
  </si>
  <si>
    <t>Costo Anual Uniforme Equivalente (CAUE)</t>
  </si>
  <si>
    <t>Valor de Salvamento</t>
  </si>
  <si>
    <t>Tasa de Rendimiento</t>
  </si>
  <si>
    <t>TEA (i´)</t>
  </si>
  <si>
    <t>TEA(i´)</t>
  </si>
  <si>
    <t>CALCULAMOS EL CAUE</t>
  </si>
  <si>
    <t>Resultado de CAUE</t>
  </si>
  <si>
    <t>Costo de Operación Anual (R):</t>
  </si>
  <si>
    <t>Tasa de Rendimiento (COK)</t>
  </si>
  <si>
    <t>Tasa de Rendimiento (COK):</t>
  </si>
  <si>
    <t>MÉTODO 1 PARA CALCULAR CAUE</t>
  </si>
  <si>
    <t>METODO 2 PARA CALCULAR CAUE</t>
  </si>
  <si>
    <r>
      <rPr>
        <b/>
        <i/>
        <sz val="8"/>
        <color theme="1"/>
        <rFont val="Times New Roman"/>
        <family val="1"/>
      </rPr>
      <t>Paso 1: Traer al presente los flujos futuros</t>
    </r>
    <r>
      <rPr>
        <b/>
        <i/>
        <sz val="12"/>
        <color theme="1"/>
        <rFont val="Times New Roman"/>
        <family val="1"/>
      </rPr>
      <t xml:space="preserve"> Resultados VAC</t>
    </r>
  </si>
  <si>
    <t>Costo de Operación Anual + Mano de Obra (R):</t>
  </si>
  <si>
    <r>
      <rPr>
        <b/>
        <i/>
        <sz val="8"/>
        <color theme="1"/>
        <rFont val="Times New Roman"/>
        <family val="1"/>
      </rPr>
      <t>Paso 1: Traer Traer al presente los flujos heterogéneos</t>
    </r>
    <r>
      <rPr>
        <b/>
        <i/>
        <sz val="12"/>
        <color theme="1"/>
        <rFont val="Times New Roman"/>
        <family val="1"/>
      </rPr>
      <t xml:space="preserve"> Resultados VAC:</t>
    </r>
  </si>
  <si>
    <r>
      <t>Paso2: Calculamos CAUE de dichos flujos</t>
    </r>
    <r>
      <rPr>
        <b/>
        <i/>
        <sz val="12"/>
        <color theme="1"/>
        <rFont val="Times New Roman"/>
        <family val="1"/>
      </rPr>
      <t xml:space="preserve"> Resultado Primer CAUE</t>
    </r>
    <r>
      <rPr>
        <b/>
        <i/>
        <sz val="8"/>
        <color theme="1"/>
        <rFont val="Times New Roman"/>
        <family val="1"/>
      </rPr>
      <t>:</t>
    </r>
  </si>
  <si>
    <r>
      <t xml:space="preserve">Paso3: Calcular el CAUE del proyecto/equipo/maquina </t>
    </r>
    <r>
      <rPr>
        <b/>
        <i/>
        <sz val="12"/>
        <color theme="1"/>
        <rFont val="Times New Roman"/>
        <family val="1"/>
      </rPr>
      <t>R. CAUE:</t>
    </r>
  </si>
  <si>
    <t>Mínimo Común Múltiplo (MCM)</t>
  </si>
  <si>
    <t>Calculamos Mínimo Común Múltiplo:</t>
  </si>
  <si>
    <t>Utilizando el método de Teoría de Rentas</t>
  </si>
  <si>
    <t>Encontramos la tasa Efectida de los tiempos de vida útil</t>
  </si>
  <si>
    <t>Resultado del Valor de Salvamento con Teoría de Rentas</t>
  </si>
  <si>
    <t xml:space="preserve">Costos de Operación </t>
  </si>
  <si>
    <t>Renovación de Maquinaría</t>
  </si>
  <si>
    <t>Resultados VACs</t>
  </si>
  <si>
    <t>¿A que valor de salvataje de la máquina N°2, cambiaría de opinión? VAC2 = VAC1</t>
  </si>
  <si>
    <t>Costo inicial Maquina 2</t>
  </si>
  <si>
    <t>costo inicial/(1+TEP)^n</t>
  </si>
  <si>
    <t>x/(1+TEP)^n2</t>
  </si>
  <si>
    <t>n2</t>
  </si>
  <si>
    <t>Tiempo de vida util (n1)</t>
  </si>
  <si>
    <t>n1</t>
  </si>
  <si>
    <t>1/(1+TEP)^n</t>
  </si>
  <si>
    <t>¿A que valor de salvataje de la máquina N°1, cambiaría de opinión? VAC1 = VAC2</t>
  </si>
  <si>
    <t>Costo inicial Maquina 1</t>
  </si>
  <si>
    <t>costo inicial/(1+TEP1)^n</t>
  </si>
  <si>
    <t>1/(1+TEP1)^n</t>
  </si>
  <si>
    <r>
      <t>Resultado de la aplicación de</t>
    </r>
    <r>
      <rPr>
        <b/>
        <sz val="12"/>
        <color rgb="FFFF0000"/>
        <rFont val="Times New Roman"/>
        <family val="1"/>
      </rPr>
      <t xml:space="preserve"> Teoría de Rentas</t>
    </r>
    <r>
      <rPr>
        <b/>
        <sz val="12"/>
        <color theme="1"/>
        <rFont val="Times New Roman"/>
        <family val="1"/>
      </rPr>
      <t xml:space="preserve"> Costos de Operación</t>
    </r>
  </si>
  <si>
    <r>
      <rPr>
        <sz val="12"/>
        <color rgb="FFFF0000"/>
        <rFont val="Times New Roman"/>
        <family val="1"/>
      </rPr>
      <t>Teoría de Rentas</t>
    </r>
    <r>
      <rPr>
        <sz val="12"/>
        <color theme="1"/>
        <rFont val="Times New Roman"/>
        <family val="1"/>
      </rPr>
      <t xml:space="preserve"> M2</t>
    </r>
  </si>
  <si>
    <t>Datos:</t>
  </si>
  <si>
    <t>Proyección de crecimiento (g)</t>
  </si>
  <si>
    <t>Rendimiento Esperado (r)</t>
  </si>
  <si>
    <t>Se puede utilizar 1 o 2</t>
  </si>
  <si>
    <t>Precio de acción (Po):</t>
  </si>
  <si>
    <t>Precio HOY de Acción Según Gorgon - Saphiro</t>
  </si>
  <si>
    <t>Precio de acción (Pn):</t>
  </si>
  <si>
    <t>Tiempo</t>
  </si>
  <si>
    <t>Se utiliza 5</t>
  </si>
  <si>
    <t>Precio de Acción en cualquier año</t>
  </si>
  <si>
    <t>Rendimiento Esperado</t>
  </si>
  <si>
    <t>Dividendo inicial (Do):</t>
  </si>
  <si>
    <t>Acción Vendida (Po)</t>
  </si>
  <si>
    <t>Dividendo Inicial (Do):</t>
  </si>
  <si>
    <t xml:space="preserve">Anualidades PRE PAGAR DEUDA </t>
  </si>
  <si>
    <t>tiempo (n):</t>
  </si>
  <si>
    <t>PRE-PAGAR (S)  =</t>
  </si>
  <si>
    <t>(((1</t>
  </si>
  <si>
    <t xml:space="preserve">i´) </t>
  </si>
  <si>
    <t>n</t>
  </si>
  <si>
    <t>1))</t>
  </si>
  <si>
    <t>/((i´</t>
  </si>
  <si>
    <t>(1</t>
  </si>
  <si>
    <t>i)</t>
  </si>
  <si>
    <t>^n))</t>
  </si>
  <si>
    <t>Renta o Dividendo (R):</t>
  </si>
  <si>
    <t>TEP rendiemiento (i´):</t>
  </si>
  <si>
    <t>Después de la primera iteración aplicar lo siguiente</t>
  </si>
  <si>
    <t>Tiempo despues de la 1anualidad:</t>
  </si>
  <si>
    <t>Tiempo despues de la 2 anualidad:</t>
  </si>
  <si>
    <t>Tiempo despues de la 3 anualidad:</t>
  </si>
  <si>
    <t>Valor Presente de dividendo:</t>
  </si>
  <si>
    <t>Resultado primera anualidad:</t>
  </si>
  <si>
    <t>Siempre actualiza</t>
  </si>
  <si>
    <t>valor presente de los pagos futuros</t>
  </si>
  <si>
    <t>Valor Nominal</t>
  </si>
  <si>
    <t>Frecuencua de Pago:</t>
  </si>
  <si>
    <t>Valor Nominal:</t>
  </si>
  <si>
    <t>Valor Comercial:</t>
  </si>
  <si>
    <t>Tasa Cupón (Interés):</t>
  </si>
  <si>
    <t>Plazo:</t>
  </si>
  <si>
    <t>Tasa de Interés de mercado:</t>
  </si>
  <si>
    <t>Prima a la redención:</t>
  </si>
  <si>
    <t>Estructuración</t>
  </si>
  <si>
    <t>Colocación:</t>
  </si>
  <si>
    <t>Estructuración:</t>
  </si>
  <si>
    <t>Flotación</t>
  </si>
  <si>
    <t>Flotación:</t>
  </si>
  <si>
    <t>Emisor</t>
  </si>
  <si>
    <t>Receptor</t>
  </si>
  <si>
    <t>En Función de Valor Comercial</t>
  </si>
  <si>
    <t>Colocación</t>
  </si>
  <si>
    <t>CAVALI</t>
  </si>
  <si>
    <t>Semestral</t>
  </si>
  <si>
    <t>años</t>
  </si>
  <si>
    <t>MÉTODO AMÉRICANO</t>
  </si>
  <si>
    <t>Tiempo (0):</t>
  </si>
  <si>
    <t>Convertimos TEP a la frecuencia de pago</t>
  </si>
  <si>
    <t>semestral</t>
  </si>
  <si>
    <t>Tiempo (1):</t>
  </si>
  <si>
    <t>Cuota (1)</t>
  </si>
  <si>
    <t>Tiempo (2):</t>
  </si>
  <si>
    <t>Cuota (2)</t>
  </si>
  <si>
    <t>Tiempo (3):</t>
  </si>
  <si>
    <t>Cuota (3)</t>
  </si>
  <si>
    <t>Tiempo (4):</t>
  </si>
  <si>
    <t>Cuota (4)</t>
  </si>
  <si>
    <t xml:space="preserve"> Traer al presente dichos flujos de caja con la tasa de costo de oportunidad o tasa del mercado</t>
  </si>
  <si>
    <t>Calculamos el COK Semestral (COKs):</t>
  </si>
  <si>
    <t xml:space="preserve">TEA (COKa) </t>
  </si>
  <si>
    <t>TES Tasa Cupón</t>
  </si>
  <si>
    <t xml:space="preserve">Precio = </t>
  </si>
  <si>
    <t>Utilidad / Pérdida = Precio – “Lo que yo acabo de pagar por el bono”</t>
  </si>
  <si>
    <t>Momento de la compra</t>
  </si>
  <si>
    <t>Flujo(0)</t>
  </si>
  <si>
    <t>CAVALI:</t>
  </si>
  <si>
    <t xml:space="preserve">Valor Comercial +  </t>
  </si>
  <si>
    <t>Flotación +</t>
  </si>
  <si>
    <t>1er Semestrre</t>
  </si>
  <si>
    <t>Cupón (1)</t>
  </si>
  <si>
    <t>TES * Valor Nominal</t>
  </si>
  <si>
    <t xml:space="preserve"> Valor Nominal / ( N – NC + 1 )</t>
  </si>
  <si>
    <t>Amortización (1)</t>
  </si>
  <si>
    <t>(Porque es el método alemán de las amortizaciones iguales)</t>
  </si>
  <si>
    <t>Cupon (1) + Amortización (1)</t>
  </si>
  <si>
    <t>Num Cuota (NC)</t>
  </si>
  <si>
    <t>Cantidad de Cuotas (N)</t>
  </si>
  <si>
    <t xml:space="preserve">Flujo (1) </t>
  </si>
  <si>
    <t>Valor Nominal (1)</t>
  </si>
  <si>
    <t>2do Semestrre</t>
  </si>
  <si>
    <t>4to Semestrre</t>
  </si>
  <si>
    <t>3ro Semestrre</t>
  </si>
  <si>
    <t>Cupón (2)</t>
  </si>
  <si>
    <t>Amortización (2)</t>
  </si>
  <si>
    <t xml:space="preserve">Flujo (2) </t>
  </si>
  <si>
    <t>Valor Nominal (2)</t>
  </si>
  <si>
    <t>Valor Nominal (1) - Amortización (2)</t>
  </si>
  <si>
    <t>Valor Nominal (0) - Amortización (1)</t>
  </si>
  <si>
    <t>Cupón (3)</t>
  </si>
  <si>
    <t>Amortización (3)</t>
  </si>
  <si>
    <t xml:space="preserve">Flujo (3) </t>
  </si>
  <si>
    <t>Valor Nominal (3)</t>
  </si>
  <si>
    <t>Valor Nominal (2) - Amortización (3)</t>
  </si>
  <si>
    <t>Valor Nominal (3) - Amortización (4)</t>
  </si>
  <si>
    <t>Flujo 1</t>
  </si>
  <si>
    <t>Flujo 2</t>
  </si>
  <si>
    <t>Flujo 3</t>
  </si>
  <si>
    <t>Flujo 4</t>
  </si>
  <si>
    <t>Flujo 5</t>
  </si>
  <si>
    <t>Flujo 6</t>
  </si>
  <si>
    <t>Cupón (4)</t>
  </si>
  <si>
    <t>Amortización (4)</t>
  </si>
  <si>
    <t>Prima (4)</t>
  </si>
  <si>
    <t>%Prima * Valor Nominal (3)</t>
  </si>
  <si>
    <t xml:space="preserve">Cuota (4) </t>
  </si>
  <si>
    <t>Flujo (4)</t>
  </si>
  <si>
    <t xml:space="preserve"> Cuota(4) + Prima(4)</t>
  </si>
  <si>
    <r>
      <rPr>
        <b/>
        <sz val="12"/>
        <rFont val="Times New Roman"/>
        <family val="1"/>
      </rPr>
      <t xml:space="preserve">Utilidad ó </t>
    </r>
    <r>
      <rPr>
        <b/>
        <sz val="12"/>
        <color rgb="FFFF0000"/>
        <rFont val="Times New Roman"/>
        <family val="1"/>
      </rPr>
      <t>Perdida</t>
    </r>
  </si>
  <si>
    <t xml:space="preserve"> Valor Nominal * TES * (1+TES) ^ (N-NC+1) / ((1+TES) ^ (N-NC+1) – 1)</t>
  </si>
  <si>
    <t>Cuota(1) – Cupón(1)</t>
  </si>
  <si>
    <t>Flujo (1)</t>
  </si>
  <si>
    <t>El final de suma con PRIMA</t>
  </si>
  <si>
    <t>Valor Nominal - Amortización (1)</t>
  </si>
  <si>
    <t>Flujo (2)</t>
  </si>
  <si>
    <t>Cuota (2) – Cupón (2)</t>
  </si>
  <si>
    <t>Cupón  (4)</t>
  </si>
  <si>
    <t>Cuota  (4)</t>
  </si>
  <si>
    <t>Amortización  (4)</t>
  </si>
  <si>
    <t>Prima  (4)</t>
  </si>
  <si>
    <t>% Prima * Valor Nominal Anterior</t>
  </si>
  <si>
    <t>Valor Nominal Anterior - Amortización de la cuota</t>
  </si>
  <si>
    <t>Flujo 1/1+COK)n</t>
  </si>
  <si>
    <t>Flujo 2/1+COK)n</t>
  </si>
  <si>
    <t>Flujo 3/1+COK)n</t>
  </si>
  <si>
    <t>Flujo 4/1+COK)n</t>
  </si>
  <si>
    <t>Flujo 1 n</t>
  </si>
  <si>
    <t>Flujo 2 n</t>
  </si>
  <si>
    <t>Flujo 3 n</t>
  </si>
  <si>
    <t>Flujo 4 n</t>
  </si>
  <si>
    <t>Flujo 5 n</t>
  </si>
  <si>
    <t>Flujo 6 n</t>
  </si>
  <si>
    <t>Cuota 1</t>
  </si>
  <si>
    <t>Tiempo (1)</t>
  </si>
  <si>
    <t>1er Periodo de pago</t>
  </si>
  <si>
    <t>Porque es emitido con el metodo americano</t>
  </si>
  <si>
    <t xml:space="preserve">Cuota(1) </t>
  </si>
  <si>
    <t>Cupón de periodo + Amortización del periodo</t>
  </si>
  <si>
    <t>Valor Nominal - Amortización</t>
  </si>
  <si>
    <t>Cuota 2</t>
  </si>
  <si>
    <t>2do Periodo de pago</t>
  </si>
  <si>
    <t>Cuota 3</t>
  </si>
  <si>
    <t>Tiempo (2)</t>
  </si>
  <si>
    <t>Valor Nominal Anterior - Amortización</t>
  </si>
  <si>
    <t>3ro Periodo de pago</t>
  </si>
  <si>
    <t>Tiempo (3)</t>
  </si>
  <si>
    <t>Flujo (3)</t>
  </si>
  <si>
    <t>Cuota 4</t>
  </si>
  <si>
    <t>4to Periodo de pago</t>
  </si>
  <si>
    <t>Valor Nominal Completo</t>
  </si>
  <si>
    <t xml:space="preserve">Cuota(4) </t>
  </si>
  <si>
    <t>Prima</t>
  </si>
  <si>
    <t>% Prima * Valor Nominal</t>
  </si>
  <si>
    <r>
      <rPr>
        <b/>
        <sz val="12"/>
        <color rgb="FFFF0000"/>
        <rFont val="Times New Roman"/>
        <family val="1"/>
      </rPr>
      <t>Utilidad</t>
    </r>
    <r>
      <rPr>
        <b/>
        <sz val="12"/>
        <rFont val="Times New Roman"/>
        <family val="1"/>
      </rPr>
      <t xml:space="preserve"> ó Perdida</t>
    </r>
  </si>
  <si>
    <t>Tasa Impuesto a la Renta</t>
  </si>
  <si>
    <t>Deuda y Kd</t>
  </si>
  <si>
    <t>Patrimonio y Ks</t>
  </si>
  <si>
    <t>Total y WACC</t>
  </si>
  <si>
    <t xml:space="preserve">Cuenta </t>
  </si>
  <si>
    <t>Deuda</t>
  </si>
  <si>
    <t>Kd</t>
  </si>
  <si>
    <t>Cuenta</t>
  </si>
  <si>
    <t>Patrimonio</t>
  </si>
  <si>
    <t>Ks</t>
  </si>
  <si>
    <t>Leasing</t>
  </si>
  <si>
    <t>Acciones Comunes</t>
  </si>
  <si>
    <t>Acciones Preferentes</t>
  </si>
  <si>
    <t>Retención de Utilidades</t>
  </si>
  <si>
    <t>Banco De los Trabajadores</t>
  </si>
  <si>
    <t xml:space="preserve"> Banco Interamericano</t>
  </si>
  <si>
    <t xml:space="preserve"> Banco Continental </t>
  </si>
  <si>
    <t>Bonos</t>
  </si>
  <si>
    <t>Flotación (f)</t>
  </si>
  <si>
    <t xml:space="preserve">Respuetas </t>
  </si>
  <si>
    <t>Ks*S</t>
  </si>
  <si>
    <t>Kd*D</t>
  </si>
  <si>
    <t>Total Deuda (D):</t>
  </si>
  <si>
    <t>Total Patrimonio (S):</t>
  </si>
  <si>
    <t>¿Cuál es el valor de salvataje de la máquina N°2, que hace que la decisión resulte ser indiferente?</t>
  </si>
  <si>
    <t>Nuevos Tiempos (Intervalos de renovación de maquinaria)</t>
  </si>
  <si>
    <t>Costo Capitalizado (CC)</t>
  </si>
  <si>
    <t>Costos anuales</t>
  </si>
  <si>
    <t xml:space="preserve">Tiempo 1 </t>
  </si>
  <si>
    <t>Inversión Adicional para el Capital de Trabjo</t>
  </si>
  <si>
    <t>Respuestas (VAN = 0)</t>
  </si>
  <si>
    <t>CANON</t>
  </si>
  <si>
    <t>RICOH</t>
  </si>
  <si>
    <t xml:space="preserve">Tasa Efectiva en el periodo de Descuento  </t>
  </si>
  <si>
    <t>Tasa de descuento (d%):</t>
  </si>
  <si>
    <t>TEP (i´%) =</t>
  </si>
  <si>
    <t>d%</t>
  </si>
  <si>
    <t>/1</t>
  </si>
  <si>
    <t>FORMULAS PARA CONVERSIÓN DE TASAS</t>
  </si>
  <si>
    <t>Tasa efectiva del Periodo (TEP)</t>
  </si>
  <si>
    <r>
      <t xml:space="preserve">Convertir Tasas de Interés </t>
    </r>
    <r>
      <rPr>
        <b/>
        <sz val="12"/>
        <color rgb="FF002060"/>
        <rFont val="Times New Roman"/>
        <family val="1"/>
      </rPr>
      <t>Efectivas a Nominales</t>
    </r>
  </si>
  <si>
    <t>Capitalización</t>
  </si>
  <si>
    <t>diario</t>
  </si>
  <si>
    <t>Monto (S):</t>
  </si>
  <si>
    <t>TEP</t>
  </si>
  <si>
    <t>anual</t>
  </si>
  <si>
    <t>Capital (C):</t>
  </si>
  <si>
    <t>m</t>
  </si>
  <si>
    <t>Encontrar Tasa nominal</t>
  </si>
  <si>
    <t>Bimestral</t>
  </si>
  <si>
    <t>(m)</t>
  </si>
  <si>
    <t xml:space="preserve">TEP = </t>
  </si>
  <si>
    <t>((S</t>
  </si>
  <si>
    <t>/C)</t>
  </si>
  <si>
    <t>1)</t>
  </si>
  <si>
    <t xml:space="preserve">TN = </t>
  </si>
  <si>
    <t>((1</t>
  </si>
  <si>
    <t>TEP)</t>
  </si>
  <si>
    <t>^(1/n)</t>
  </si>
  <si>
    <r>
      <t xml:space="preserve">Convertir Tasas de interés </t>
    </r>
    <r>
      <rPr>
        <b/>
        <sz val="12"/>
        <color rgb="FF002060"/>
        <rFont val="Times New Roman"/>
        <family val="1"/>
      </rPr>
      <t>Nominales a Efectivas</t>
    </r>
  </si>
  <si>
    <t>Convertir Tasas Efectivas en otras Efectivas</t>
  </si>
  <si>
    <t>mensual</t>
  </si>
  <si>
    <t>TN</t>
  </si>
  <si>
    <t>TEP_1</t>
  </si>
  <si>
    <t>n_1</t>
  </si>
  <si>
    <t>Encontrar tasa efectiva</t>
  </si>
  <si>
    <t>n_2</t>
  </si>
  <si>
    <t>(n)</t>
  </si>
  <si>
    <t>Cuál sería la TEP_2</t>
  </si>
  <si>
    <t>días</t>
  </si>
  <si>
    <t>TEP =</t>
  </si>
  <si>
    <t>(TN</t>
  </si>
  <si>
    <t>/m)</t>
  </si>
  <si>
    <t>^n</t>
  </si>
  <si>
    <t>TEP_2 =</t>
  </si>
  <si>
    <t>TEP_1)</t>
  </si>
  <si>
    <t>^(n2</t>
  </si>
  <si>
    <t>/n1)</t>
  </si>
  <si>
    <t>FORMULAS PARA EL INTERÉS EFECTIVO</t>
  </si>
  <si>
    <t>Valor Efectivo Futuro (S)</t>
  </si>
  <si>
    <t>Valor Efectivo Presente (C)</t>
  </si>
  <si>
    <t>C</t>
  </si>
  <si>
    <t>N° de diás</t>
  </si>
  <si>
    <t>N° de diás TEP</t>
  </si>
  <si>
    <t>S =</t>
  </si>
  <si>
    <t>^(N° de diás</t>
  </si>
  <si>
    <t>/N° de días TEP))</t>
  </si>
  <si>
    <t>C =</t>
  </si>
  <si>
    <t>S</t>
  </si>
  <si>
    <t>/((1</t>
  </si>
  <si>
    <t>^(N° de días</t>
  </si>
  <si>
    <t>/N° días TEP))</t>
  </si>
  <si>
    <t>Solo Interes</t>
  </si>
  <si>
    <t>Tiempo transcurrido (n)</t>
  </si>
  <si>
    <t>Tasa de Interés Efectivo</t>
  </si>
  <si>
    <t>N° días TEP</t>
  </si>
  <si>
    <t>Cual es la tasa efectiva del periodo</t>
  </si>
  <si>
    <t>n =</t>
  </si>
  <si>
    <t>(LN(S</t>
  </si>
  <si>
    <t>/C))</t>
  </si>
  <si>
    <t>/(LN(1</t>
  </si>
  <si>
    <t>TEP))</t>
  </si>
  <si>
    <t>^(N° de días TEP</t>
  </si>
  <si>
    <t>/N° días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</si>
</sst>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S/&quot;\ #,##0.00;[Red]\-&quot;S/&quot;\ #,##0.00"/>
    <numFmt numFmtId="43" formatCode="_-* #,##0.00_-;\-* #,##0.00_-;_-* &quot;-&quot;??_-;_-@_-"/>
    <numFmt numFmtId="164" formatCode="0.00000%"/>
    <numFmt numFmtId="165" formatCode="0.00000"/>
    <numFmt numFmtId="166" formatCode="0.000000000"/>
    <numFmt numFmtId="167" formatCode="0.000"/>
    <numFmt numFmtId="168" formatCode="0.0000"/>
    <numFmt numFmtId="169" formatCode="0.00000000"/>
    <numFmt numFmtId="170" formatCode="0.0000%"/>
    <numFmt numFmtId="171" formatCode="0.0000000%"/>
    <numFmt numFmtId="172" formatCode="0.00000000%"/>
    <numFmt numFmtId="173" formatCode="0.000000%"/>
    <numFmt numFmtId="174" formatCode="0.0000000000%"/>
    <numFmt numFmtId="175" formatCode="0.000000000%"/>
    <numFmt numFmtId="176" formatCode="0.0"/>
    <numFmt numFmtId="177" formatCode="0.0000000000"/>
    <numFmt numFmtId="178" formatCode="0.00000000000"/>
    <numFmt numFmtId="179" formatCode="0.000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0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rgb="FFC00000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i/>
      <sz val="12"/>
      <color rgb="FFC00000"/>
      <name val="Times New Roman"/>
      <family val="1"/>
    </font>
    <font>
      <sz val="10"/>
      <color rgb="FFC00000"/>
      <name val="Times New Roman"/>
      <family val="1"/>
    </font>
    <font>
      <i/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8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rgb="FF002060"/>
      <name val="Times New Roman"/>
      <family val="1"/>
    </font>
    <font>
      <sz val="12"/>
      <color rgb="FF002060"/>
      <name val="Times New Roman"/>
      <family val="1"/>
    </font>
    <font>
      <b/>
      <i/>
      <sz val="10"/>
      <color rgb="FFFF0000"/>
      <name val="Times New Roman"/>
      <family val="1"/>
    </font>
    <font>
      <sz val="12"/>
      <color rgb="FF7030A0"/>
      <name val="Times New Roman"/>
      <family val="1"/>
    </font>
    <font>
      <b/>
      <sz val="12"/>
      <color theme="5"/>
      <name val="Times New Roman"/>
      <family val="1"/>
    </font>
    <font>
      <b/>
      <sz val="12"/>
      <color rgb="FF7030A0"/>
      <name val="Times New Roman"/>
      <family val="1"/>
    </font>
    <font>
      <sz val="8"/>
      <name val="Calibri"/>
      <family val="2"/>
      <scheme val="minor"/>
    </font>
    <font>
      <b/>
      <sz val="12"/>
      <color theme="9"/>
      <name val="Times New Roman"/>
      <family val="1"/>
    </font>
    <font>
      <i/>
      <sz val="12"/>
      <color rgb="FF7030A0"/>
      <name val="Times New Roman"/>
      <family val="1"/>
    </font>
    <font>
      <b/>
      <i/>
      <sz val="12"/>
      <color rgb="FF7030A0"/>
      <name val="Times New Roman"/>
      <family val="1"/>
    </font>
    <font>
      <b/>
      <sz val="20"/>
      <color rgb="FFC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0" fillId="7" borderId="0" xfId="0" applyFill="1"/>
    <xf numFmtId="2" fontId="8" fillId="0" borderId="0" xfId="0" applyNumberFormat="1" applyFont="1" applyAlignment="1">
      <alignment horizontal="center"/>
    </xf>
    <xf numFmtId="2" fontId="2" fillId="2" borderId="16" xfId="0" applyNumberFormat="1" applyFont="1" applyFill="1" applyBorder="1" applyAlignment="1">
      <alignment horizontal="center" vertical="center"/>
    </xf>
    <xf numFmtId="165" fontId="2" fillId="5" borderId="7" xfId="0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0" fillId="0" borderId="1" xfId="0" applyBorder="1"/>
    <xf numFmtId="165" fontId="7" fillId="4" borderId="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0" fontId="2" fillId="7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2" fillId="8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7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2" fillId="3" borderId="1" xfId="2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2" fontId="2" fillId="0" borderId="6" xfId="1" applyNumberFormat="1" applyFont="1" applyBorder="1" applyAlignment="1">
      <alignment horizontal="center"/>
    </xf>
    <xf numFmtId="0" fontId="6" fillId="0" borderId="0" xfId="0" applyFont="1"/>
    <xf numFmtId="0" fontId="6" fillId="0" borderId="25" xfId="0" applyFont="1" applyBorder="1"/>
    <xf numFmtId="0" fontId="2" fillId="0" borderId="16" xfId="0" applyFont="1" applyBorder="1" applyAlignment="1">
      <alignment horizontal="center" vertical="center"/>
    </xf>
    <xf numFmtId="171" fontId="2" fillId="0" borderId="2" xfId="1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25" xfId="0" applyFont="1" applyBorder="1"/>
    <xf numFmtId="172" fontId="20" fillId="0" borderId="10" xfId="1" applyNumberFormat="1" applyFont="1" applyBorder="1" applyAlignment="1">
      <alignment horizontal="center" vertical="center"/>
    </xf>
    <xf numFmtId="166" fontId="6" fillId="0" borderId="10" xfId="1" applyNumberFormat="1" applyFont="1" applyFill="1" applyBorder="1" applyAlignment="1">
      <alignment horizontal="center" vertical="center"/>
    </xf>
    <xf numFmtId="2" fontId="20" fillId="0" borderId="0" xfId="1" applyNumberFormat="1" applyFont="1" applyBorder="1" applyAlignment="1">
      <alignment horizontal="center" vertical="center"/>
    </xf>
    <xf numFmtId="1" fontId="20" fillId="0" borderId="0" xfId="1" applyNumberFormat="1" applyFont="1" applyBorder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70" fontId="4" fillId="0" borderId="0" xfId="1" applyNumberFormat="1" applyFont="1" applyBorder="1" applyAlignment="1">
      <alignment horizontal="center" vertical="center"/>
    </xf>
    <xf numFmtId="173" fontId="20" fillId="0" borderId="2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9" fontId="21" fillId="0" borderId="29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0" fontId="2" fillId="3" borderId="1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2" fontId="0" fillId="0" borderId="0" xfId="0" applyNumberFormat="1"/>
    <xf numFmtId="0" fontId="2" fillId="10" borderId="7" xfId="0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2" fillId="0" borderId="11" xfId="0" applyFont="1" applyBorder="1"/>
    <xf numFmtId="0" fontId="2" fillId="0" borderId="7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170" fontId="6" fillId="11" borderId="1" xfId="1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3" fontId="2" fillId="0" borderId="0" xfId="1" applyNumberFormat="1" applyFont="1" applyBorder="1" applyAlignment="1">
      <alignment horizontal="center" vertical="center"/>
    </xf>
    <xf numFmtId="0" fontId="3" fillId="0" borderId="0" xfId="0" applyFont="1"/>
    <xf numFmtId="173" fontId="6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/>
    </xf>
    <xf numFmtId="0" fontId="19" fillId="0" borderId="11" xfId="0" applyFont="1" applyBorder="1"/>
    <xf numFmtId="0" fontId="3" fillId="12" borderId="3" xfId="0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0" borderId="11" xfId="0" applyFont="1" applyBorder="1"/>
    <xf numFmtId="0" fontId="8" fillId="6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7" fontId="3" fillId="13" borderId="1" xfId="0" applyNumberFormat="1" applyFont="1" applyFill="1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2" fontId="29" fillId="13" borderId="1" xfId="0" applyNumberFormat="1" applyFont="1" applyFill="1" applyBorder="1" applyAlignment="1">
      <alignment horizontal="center" vertical="center"/>
    </xf>
    <xf numFmtId="2" fontId="2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4" fontId="3" fillId="0" borderId="1" xfId="1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top"/>
    </xf>
    <xf numFmtId="0" fontId="5" fillId="11" borderId="11" xfId="0" applyFont="1" applyFill="1" applyBorder="1" applyAlignment="1">
      <alignment horizontal="center" vertical="top"/>
    </xf>
    <xf numFmtId="0" fontId="5" fillId="11" borderId="7" xfId="0" applyFont="1" applyFill="1" applyBorder="1" applyAlignment="1">
      <alignment horizontal="center" vertical="top"/>
    </xf>
    <xf numFmtId="0" fontId="5" fillId="10" borderId="3" xfId="0" applyFont="1" applyFill="1" applyBorder="1" applyAlignment="1">
      <alignment horizontal="center" vertical="top"/>
    </xf>
    <xf numFmtId="0" fontId="5" fillId="10" borderId="11" xfId="0" applyFont="1" applyFill="1" applyBorder="1" applyAlignment="1">
      <alignment horizontal="center" vertical="top"/>
    </xf>
    <xf numFmtId="0" fontId="5" fillId="10" borderId="7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5" fillId="9" borderId="3" xfId="0" applyFont="1" applyFill="1" applyBorder="1" applyAlignment="1">
      <alignment horizontal="center" vertical="top"/>
    </xf>
    <xf numFmtId="0" fontId="5" fillId="9" borderId="11" xfId="0" applyFont="1" applyFill="1" applyBorder="1" applyAlignment="1">
      <alignment horizontal="center" vertical="top"/>
    </xf>
    <xf numFmtId="0" fontId="5" fillId="9" borderId="7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top"/>
    </xf>
    <xf numFmtId="0" fontId="12" fillId="10" borderId="11" xfId="0" applyFont="1" applyFill="1" applyBorder="1" applyAlignment="1">
      <alignment horizontal="center" vertical="top"/>
    </xf>
    <xf numFmtId="0" fontId="12" fillId="10" borderId="7" xfId="0" applyFont="1" applyFill="1" applyBorder="1" applyAlignment="1">
      <alignment horizontal="center" vertical="top"/>
    </xf>
    <xf numFmtId="0" fontId="13" fillId="10" borderId="3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12" fillId="8" borderId="7" xfId="0" applyFont="1" applyFill="1" applyBorder="1" applyAlignment="1">
      <alignment horizontal="center" vertical="top"/>
    </xf>
    <xf numFmtId="0" fontId="3" fillId="8" borderId="4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11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3" fillId="15" borderId="7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top"/>
    </xf>
    <xf numFmtId="0" fontId="3" fillId="5" borderId="11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2" fillId="0" borderId="24" xfId="0" applyFont="1" applyBorder="1"/>
    <xf numFmtId="172" fontId="2" fillId="0" borderId="6" xfId="1" applyNumberFormat="1" applyFont="1" applyBorder="1" applyAlignment="1">
      <alignment horizontal="center"/>
    </xf>
    <xf numFmtId="173" fontId="2" fillId="0" borderId="2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5" fontId="20" fillId="0" borderId="10" xfId="1" applyNumberFormat="1" applyFont="1" applyBorder="1" applyAlignment="1">
      <alignment horizontal="center" vertical="center"/>
    </xf>
    <xf numFmtId="168" fontId="6" fillId="0" borderId="10" xfId="1" applyNumberFormat="1" applyFont="1" applyFill="1" applyBorder="1" applyAlignment="1">
      <alignment horizontal="center" vertical="center"/>
    </xf>
    <xf numFmtId="171" fontId="20" fillId="0" borderId="0" xfId="1" applyNumberFormat="1" applyFont="1" applyAlignment="1">
      <alignment horizontal="center" vertical="center"/>
    </xf>
    <xf numFmtId="173" fontId="6" fillId="0" borderId="0" xfId="1" applyNumberFormat="1" applyFont="1" applyAlignment="1">
      <alignment horizontal="center" vertical="center"/>
    </xf>
    <xf numFmtId="173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26" xfId="0" applyFont="1" applyBorder="1"/>
    <xf numFmtId="0" fontId="30" fillId="16" borderId="0" xfId="0" applyFont="1" applyFill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/>
    </xf>
    <xf numFmtId="0" fontId="2" fillId="18" borderId="27" xfId="0" applyFont="1" applyFill="1" applyBorder="1" applyAlignment="1">
      <alignment horizontal="center"/>
    </xf>
    <xf numFmtId="0" fontId="2" fillId="18" borderId="27" xfId="0" applyFont="1" applyFill="1" applyBorder="1" applyAlignment="1">
      <alignment horizontal="center" vertical="center"/>
    </xf>
    <xf numFmtId="0" fontId="2" fillId="18" borderId="27" xfId="0" applyFont="1" applyFill="1" applyBorder="1"/>
    <xf numFmtId="0" fontId="2" fillId="18" borderId="24" xfId="0" applyFont="1" applyFill="1" applyBorder="1"/>
    <xf numFmtId="0" fontId="6" fillId="18" borderId="16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20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/>
    </xf>
    <xf numFmtId="0" fontId="2" fillId="18" borderId="0" xfId="0" applyFont="1" applyFill="1"/>
    <xf numFmtId="0" fontId="2" fillId="18" borderId="25" xfId="0" applyFont="1" applyFill="1" applyBorder="1"/>
    <xf numFmtId="0" fontId="20" fillId="0" borderId="2" xfId="0" applyFont="1" applyBorder="1" applyAlignment="1">
      <alignment horizontal="center"/>
    </xf>
    <xf numFmtId="0" fontId="2" fillId="18" borderId="14" xfId="0" applyFont="1" applyFill="1" applyBorder="1" applyAlignment="1">
      <alignment horizontal="center" vertical="center"/>
    </xf>
    <xf numFmtId="2" fontId="2" fillId="18" borderId="6" xfId="0" applyNumberFormat="1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6" fillId="18" borderId="0" xfId="0" applyFont="1" applyFill="1"/>
    <xf numFmtId="0" fontId="2" fillId="18" borderId="16" xfId="0" applyFont="1" applyFill="1" applyBorder="1" applyAlignment="1">
      <alignment horizontal="center" vertical="center"/>
    </xf>
    <xf numFmtId="176" fontId="2" fillId="18" borderId="2" xfId="1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18" borderId="2" xfId="0" applyFont="1" applyFill="1" applyBorder="1" applyAlignment="1">
      <alignment horizont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18" borderId="10" xfId="0" applyFont="1" applyFill="1" applyBorder="1"/>
    <xf numFmtId="172" fontId="20" fillId="5" borderId="10" xfId="1" applyNumberFormat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2" fontId="6" fillId="18" borderId="10" xfId="1" applyNumberFormat="1" applyFont="1" applyFill="1" applyBorder="1" applyAlignment="1">
      <alignment horizontal="center" vertical="center"/>
    </xf>
    <xf numFmtId="2" fontId="20" fillId="18" borderId="0" xfId="0" applyNumberFormat="1" applyFont="1" applyFill="1" applyAlignment="1">
      <alignment horizontal="center" vertical="center"/>
    </xf>
    <xf numFmtId="176" fontId="4" fillId="18" borderId="0" xfId="0" applyNumberFormat="1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177" fontId="6" fillId="5" borderId="10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21" fillId="18" borderId="29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9" fontId="21" fillId="18" borderId="29" xfId="0" applyNumberFormat="1" applyFont="1" applyFill="1" applyBorder="1" applyAlignment="1">
      <alignment horizontal="center" vertical="center"/>
    </xf>
    <xf numFmtId="0" fontId="2" fillId="18" borderId="29" xfId="0" applyFont="1" applyFill="1" applyBorder="1"/>
    <xf numFmtId="0" fontId="2" fillId="18" borderId="26" xfId="0" applyFont="1" applyFill="1" applyBorder="1"/>
    <xf numFmtId="0" fontId="20" fillId="0" borderId="29" xfId="0" applyFont="1" applyBorder="1" applyAlignment="1">
      <alignment horizontal="center" vertical="center"/>
    </xf>
    <xf numFmtId="9" fontId="20" fillId="0" borderId="29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16" xfId="0" applyFont="1" applyBorder="1" applyAlignment="1">
      <alignment horizontal="center"/>
    </xf>
    <xf numFmtId="10" fontId="2" fillId="0" borderId="2" xfId="1" applyNumberFormat="1" applyFont="1" applyBorder="1" applyAlignment="1">
      <alignment horizontal="center"/>
    </xf>
    <xf numFmtId="175" fontId="2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2" fillId="0" borderId="2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0" xfId="0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171" fontId="20" fillId="5" borderId="10" xfId="1" applyNumberFormat="1" applyFont="1" applyFill="1" applyBorder="1" applyAlignment="1">
      <alignment horizontal="center" vertical="center"/>
    </xf>
    <xf numFmtId="175" fontId="20" fillId="5" borderId="10" xfId="1" applyNumberFormat="1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178" fontId="6" fillId="5" borderId="1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5" xfId="1" applyFont="1" applyBorder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6" fillId="19" borderId="16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20" fillId="19" borderId="2" xfId="0" applyFont="1" applyFill="1" applyBorder="1" applyAlignment="1">
      <alignment horizontal="center" vertical="center"/>
    </xf>
    <xf numFmtId="169" fontId="20" fillId="0" borderId="2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169" fontId="2" fillId="0" borderId="2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/>
    </xf>
    <xf numFmtId="175" fontId="2" fillId="0" borderId="2" xfId="1" applyNumberFormat="1" applyFont="1" applyBorder="1" applyAlignment="1">
      <alignment horizontal="center"/>
    </xf>
    <xf numFmtId="1" fontId="2" fillId="0" borderId="0" xfId="0" applyNumberFormat="1" applyFont="1"/>
    <xf numFmtId="1" fontId="2" fillId="0" borderId="25" xfId="0" applyNumberFormat="1" applyFont="1" applyBorder="1"/>
    <xf numFmtId="169" fontId="2" fillId="0" borderId="16" xfId="0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20" fillId="0" borderId="25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9" fontId="2" fillId="0" borderId="10" xfId="0" applyNumberFormat="1" applyFont="1" applyBorder="1" applyAlignment="1">
      <alignment horizontal="center" vertical="center"/>
    </xf>
    <xf numFmtId="1" fontId="20" fillId="0" borderId="10" xfId="1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9" fontId="3" fillId="0" borderId="10" xfId="0" applyNumberFormat="1" applyFont="1" applyBorder="1" applyAlignment="1">
      <alignment horizontal="center" vertical="center"/>
    </xf>
    <xf numFmtId="169" fontId="6" fillId="0" borderId="25" xfId="0" applyNumberFormat="1" applyFont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69" fontId="6" fillId="5" borderId="10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vertical="center"/>
    </xf>
    <xf numFmtId="167" fontId="2" fillId="0" borderId="2" xfId="1" applyNumberFormat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169" fontId="20" fillId="0" borderId="0" xfId="0" applyNumberFormat="1" applyFont="1" applyAlignment="1">
      <alignment horizontal="center" vertical="center"/>
    </xf>
    <xf numFmtId="173" fontId="2" fillId="0" borderId="10" xfId="1" applyNumberFormat="1" applyFont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9" fontId="20" fillId="0" borderId="0" xfId="1" applyFont="1" applyBorder="1" applyAlignment="1">
      <alignment horizontal="center" vertical="center"/>
    </xf>
    <xf numFmtId="179" fontId="6" fillId="5" borderId="10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25" xfId="0" applyBorder="1"/>
    <xf numFmtId="1" fontId="4" fillId="0" borderId="0" xfId="1" applyNumberFormat="1" applyFont="1" applyBorder="1" applyAlignment="1">
      <alignment horizontal="center" vertical="center"/>
    </xf>
    <xf numFmtId="175" fontId="2" fillId="2" borderId="1" xfId="1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  <color rgb="FFFF66FF"/>
      <color rgb="FF99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PROYECTO</a:t>
            </a:r>
            <a:r>
              <a:rPr lang="es-PE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'VAN - TIR - BC -PRD'!$G$35:$G$44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'VAN - TIR - BC -PRD'!$E$35:$E$41</c:f>
              <c:numCache>
                <c:formatCode>0.00000</c:formatCode>
                <c:ptCount val="7"/>
                <c:pt idx="0">
                  <c:v>-9300</c:v>
                </c:pt>
                <c:pt idx="1">
                  <c:v>-6760.9556353941989</c:v>
                </c:pt>
                <c:pt idx="2">
                  <c:v>-4402.4586362646223</c:v>
                </c:pt>
                <c:pt idx="3">
                  <c:v>-2214.2224781854952</c:v>
                </c:pt>
                <c:pt idx="4">
                  <c:v>-186.16736548213566</c:v>
                </c:pt>
                <c:pt idx="5">
                  <c:v>1691.5135468348712</c:v>
                </c:pt>
                <c:pt idx="6">
                  <c:v>1691.5135468348712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F-4E8E-9801-D87DF61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19184"/>
        <c:axId val="1060604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Proyecto B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'VAN - TIR - BC -PRD'!$G$35:$G$45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'VAN - TIR - BC -PRD'!$F$35:$F$42</c15:sqref>
                        </c15:formulaRef>
                      </c:ext>
                    </c:extLst>
                    <c:numCache>
                      <c:formatCode>0.00000</c:formatCode>
                      <c:ptCount val="8"/>
                      <c:pt idx="0">
                        <c:v>-5650</c:v>
                      </c:pt>
                      <c:pt idx="1">
                        <c:v>-3990.2006803813674</c:v>
                      </c:pt>
                      <c:pt idx="2">
                        <c:v>-2420.552506899226</c:v>
                      </c:pt>
                      <c:pt idx="3">
                        <c:v>-940.06269697770381</c:v>
                      </c:pt>
                      <c:pt idx="4">
                        <c:v>453.01030376102585</c:v>
                      </c:pt>
                      <c:pt idx="5">
                        <c:v>1760.9923634245749</c:v>
                      </c:pt>
                      <c:pt idx="6">
                        <c:v>1760.9923634245745</c:v>
                      </c:pt>
                      <c:pt idx="7">
                        <c:v>1760.9923634245745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E8-4173-912D-D662E267EC8D}"/>
                  </c:ext>
                </c:extLst>
              </c15:ser>
            </c15:filteredScatterSeries>
          </c:ext>
        </c:extLst>
      </c:scatterChart>
      <c:valAx>
        <c:axId val="10606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0604784"/>
        <c:crosses val="autoZero"/>
        <c:crossBetween val="midCat"/>
      </c:valAx>
      <c:valAx>
        <c:axId val="1060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06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PROYECTO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'VAN - TIR - BC -PRD'!$G$35:$G$45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'VAN - TIR - BC -PRD'!$F$35:$F$41</c:f>
              <c:numCache>
                <c:formatCode>0.00000</c:formatCode>
                <c:ptCount val="7"/>
                <c:pt idx="0">
                  <c:v>-5650</c:v>
                </c:pt>
                <c:pt idx="1">
                  <c:v>-3990.2006803813674</c:v>
                </c:pt>
                <c:pt idx="2">
                  <c:v>-2420.552506899226</c:v>
                </c:pt>
                <c:pt idx="3">
                  <c:v>-940.06269697770381</c:v>
                </c:pt>
                <c:pt idx="4">
                  <c:v>453.01030376102585</c:v>
                </c:pt>
                <c:pt idx="5">
                  <c:v>1760.9923634245749</c:v>
                </c:pt>
                <c:pt idx="6">
                  <c:v>1760.9923634245745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8-44AE-A87C-4A3F7E1C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78623"/>
        <c:axId val="1046879103"/>
      </c:scatterChart>
      <c:valAx>
        <c:axId val="10468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879103"/>
        <c:crosses val="autoZero"/>
        <c:crossBetween val="midCat"/>
      </c:valAx>
      <c:valAx>
        <c:axId val="1046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8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9.png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9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1</xdr:row>
      <xdr:rowOff>144781</xdr:rowOff>
    </xdr:from>
    <xdr:to>
      <xdr:col>12</xdr:col>
      <xdr:colOff>95250</xdr:colOff>
      <xdr:row>4</xdr:row>
      <xdr:rowOff>20090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CB6359-7707-E0BB-D8D4-1732B364C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5475" y="325756"/>
          <a:ext cx="1958340" cy="4144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15240</xdr:colOff>
      <xdr:row>22</xdr:row>
      <xdr:rowOff>87631</xdr:rowOff>
    </xdr:from>
    <xdr:to>
      <xdr:col>10</xdr:col>
      <xdr:colOff>556259</xdr:colOff>
      <xdr:row>25</xdr:row>
      <xdr:rowOff>55093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781737-92F6-478E-BC7F-A0F7AE3D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5090" y="4145281"/>
          <a:ext cx="2676525" cy="5903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55245</xdr:colOff>
      <xdr:row>27</xdr:row>
      <xdr:rowOff>9526</xdr:rowOff>
    </xdr:from>
    <xdr:to>
      <xdr:col>11</xdr:col>
      <xdr:colOff>434340</xdr:colOff>
      <xdr:row>28</xdr:row>
      <xdr:rowOff>173860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632DD0-48F9-9AFC-7096-8018F6203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4245" y="5534026"/>
          <a:ext cx="3535680" cy="37007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342900</xdr:colOff>
      <xdr:row>1</xdr:row>
      <xdr:rowOff>85725</xdr:rowOff>
    </xdr:from>
    <xdr:to>
      <xdr:col>15</xdr:col>
      <xdr:colOff>777241</xdr:colOff>
      <xdr:row>3</xdr:row>
      <xdr:rowOff>117720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0673D61-0F84-4845-AADB-57AA53EFE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266700"/>
          <a:ext cx="3678556" cy="3939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26672</xdr:colOff>
      <xdr:row>29</xdr:row>
      <xdr:rowOff>186691</xdr:rowOff>
    </xdr:from>
    <xdr:to>
      <xdr:col>11</xdr:col>
      <xdr:colOff>417196</xdr:colOff>
      <xdr:row>31</xdr:row>
      <xdr:rowOff>171694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180741-B947-0C3E-EDC0-20E454F94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522" y="5711191"/>
          <a:ext cx="3543299" cy="3736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628651</xdr:colOff>
      <xdr:row>29</xdr:row>
      <xdr:rowOff>152401</xdr:rowOff>
    </xdr:from>
    <xdr:to>
      <xdr:col>13</xdr:col>
      <xdr:colOff>152400</xdr:colOff>
      <xdr:row>32</xdr:row>
      <xdr:rowOff>41351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90D8065-205B-FCE1-E995-045F418F9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6051" y="5676901"/>
          <a:ext cx="1143000" cy="479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138281</xdr:colOff>
      <xdr:row>33</xdr:row>
      <xdr:rowOff>6947</xdr:rowOff>
    </xdr:from>
    <xdr:to>
      <xdr:col>12</xdr:col>
      <xdr:colOff>457536</xdr:colOff>
      <xdr:row>44</xdr:row>
      <xdr:rowOff>160692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E92C26-4952-39E1-AA17-F7763D91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135478</xdr:colOff>
      <xdr:row>45</xdr:row>
      <xdr:rowOff>115869</xdr:rowOff>
    </xdr:from>
    <xdr:to>
      <xdr:col>12</xdr:col>
      <xdr:colOff>468967</xdr:colOff>
      <xdr:row>61</xdr:row>
      <xdr:rowOff>191397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374A8CE-9D13-C4C4-AADB-D502A862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690955</xdr:colOff>
      <xdr:row>18</xdr:row>
      <xdr:rowOff>56029</xdr:rowOff>
    </xdr:from>
    <xdr:to>
      <xdr:col>11</xdr:col>
      <xdr:colOff>343573</xdr:colOff>
      <xdr:row>21</xdr:row>
      <xdr:rowOff>21018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3032EE-33D2-78F3-D00D-99B5C47E2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2543" y="3731558"/>
          <a:ext cx="649941" cy="53940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20955</xdr:colOff>
      <xdr:row>18</xdr:row>
      <xdr:rowOff>66675</xdr:rowOff>
    </xdr:from>
    <xdr:to>
      <xdr:col>15</xdr:col>
      <xdr:colOff>1046294</xdr:colOff>
      <xdr:row>28</xdr:row>
      <xdr:rowOff>98763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6B47736-572E-39E3-AFF3-CF0E9D7AA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580" y="3705225"/>
          <a:ext cx="3044639" cy="202852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26670</xdr:colOff>
      <xdr:row>30</xdr:row>
      <xdr:rowOff>55021</xdr:rowOff>
    </xdr:from>
    <xdr:to>
      <xdr:col>15</xdr:col>
      <xdr:colOff>1084509</xdr:colOff>
      <xdr:row>38</xdr:row>
      <xdr:rowOff>56087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173196C-6810-BB29-2837-6BEDF79F5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47295" y="6074821"/>
          <a:ext cx="3071424" cy="16203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38100</xdr:colOff>
      <xdr:row>40</xdr:row>
      <xdr:rowOff>64803</xdr:rowOff>
    </xdr:from>
    <xdr:to>
      <xdr:col>15</xdr:col>
      <xdr:colOff>1121095</xdr:colOff>
      <xdr:row>49</xdr:row>
      <xdr:rowOff>79034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86A2B15-1359-860A-C2AA-14FCCB3FF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58725" y="8113428"/>
          <a:ext cx="3088960" cy="18620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18</xdr:col>
      <xdr:colOff>666750</xdr:colOff>
      <xdr:row>6</xdr:row>
      <xdr:rowOff>120015</xdr:rowOff>
    </xdr:from>
    <xdr:ext cx="1564005" cy="568423"/>
    <xdr:pic>
      <xdr:nvPicPr>
        <xdr:cNvPr id="15" name="Imagen 14">
          <a:extLst>
            <a:ext uri="{FF2B5EF4-FFF2-40B4-BE49-F238E27FC236}">
              <a16:creationId xmlns:a16="http://schemas.microsoft.com/office/drawing/2014/main" id="{1E0E9FFA-AA81-4236-ACF0-01C573FE4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712440" y="702945"/>
          <a:ext cx="1564005" cy="5684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878205</xdr:colOff>
      <xdr:row>3</xdr:row>
      <xdr:rowOff>15240</xdr:rowOff>
    </xdr:from>
    <xdr:to>
      <xdr:col>2</xdr:col>
      <xdr:colOff>173699</xdr:colOff>
      <xdr:row>5</xdr:row>
      <xdr:rowOff>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084268-9DAC-45BE-CA7D-DFFED99F9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615315"/>
          <a:ext cx="2473034" cy="3829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493395</xdr:colOff>
      <xdr:row>2</xdr:row>
      <xdr:rowOff>173360</xdr:rowOff>
    </xdr:from>
    <xdr:to>
      <xdr:col>3</xdr:col>
      <xdr:colOff>440324</xdr:colOff>
      <xdr:row>5</xdr:row>
      <xdr:rowOff>55343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4AF815-75E0-0ECD-5BDC-9BCE71297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5795" y="573410"/>
          <a:ext cx="1347104" cy="50301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524772</xdr:colOff>
      <xdr:row>20</xdr:row>
      <xdr:rowOff>189155</xdr:rowOff>
    </xdr:from>
    <xdr:to>
      <xdr:col>3</xdr:col>
      <xdr:colOff>746421</xdr:colOff>
      <xdr:row>23</xdr:row>
      <xdr:rowOff>18219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628AEB-7698-F4D0-4CB3-96EF291F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301" y="4772361"/>
          <a:ext cx="4791969" cy="4754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97155</xdr:colOff>
      <xdr:row>13</xdr:row>
      <xdr:rowOff>45725</xdr:rowOff>
    </xdr:from>
    <xdr:to>
      <xdr:col>4</xdr:col>
      <xdr:colOff>933450</xdr:colOff>
      <xdr:row>14</xdr:row>
      <xdr:rowOff>153920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A4F8188-359D-4546-AE49-F91CE0F54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7580" y="2522225"/>
          <a:ext cx="834390" cy="3177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</xdr:col>
      <xdr:colOff>569595</xdr:colOff>
      <xdr:row>31</xdr:row>
      <xdr:rowOff>120015</xdr:rowOff>
    </xdr:from>
    <xdr:ext cx="4793649" cy="478220"/>
    <xdr:pic>
      <xdr:nvPicPr>
        <xdr:cNvPr id="8" name="Imagen 7">
          <a:extLst>
            <a:ext uri="{FF2B5EF4-FFF2-40B4-BE49-F238E27FC236}">
              <a16:creationId xmlns:a16="http://schemas.microsoft.com/office/drawing/2014/main" id="{E2ACB2BC-BBE3-436A-B0BB-74D47DFD5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0170" y="4570095"/>
          <a:ext cx="4793649" cy="4782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6</xdr:col>
      <xdr:colOff>2162175</xdr:colOff>
      <xdr:row>2</xdr:row>
      <xdr:rowOff>85725</xdr:rowOff>
    </xdr:from>
    <xdr:to>
      <xdr:col>7</xdr:col>
      <xdr:colOff>346431</xdr:colOff>
      <xdr:row>4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E45310-6AE7-A1F5-52CC-068FE4296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6050" y="504825"/>
          <a:ext cx="1885671" cy="419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2914650</xdr:colOff>
      <xdr:row>19</xdr:row>
      <xdr:rowOff>75977</xdr:rowOff>
    </xdr:from>
    <xdr:to>
      <xdr:col>7</xdr:col>
      <xdr:colOff>668655</xdr:colOff>
      <xdr:row>19</xdr:row>
      <xdr:rowOff>399504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9193226-318B-4C3F-98DD-BAA58520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0179" y="4110095"/>
          <a:ext cx="1463152" cy="3349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283845</xdr:colOff>
      <xdr:row>1</xdr:row>
      <xdr:rowOff>55245</xdr:rowOff>
    </xdr:from>
    <xdr:to>
      <xdr:col>4</xdr:col>
      <xdr:colOff>379832</xdr:colOff>
      <xdr:row>16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135419-A8E6-896B-42A7-8879FFC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4995" y="255270"/>
          <a:ext cx="2884907" cy="31508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6</xdr:col>
      <xdr:colOff>739547</xdr:colOff>
      <xdr:row>24</xdr:row>
      <xdr:rowOff>20614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7CA436-99BC-FAD1-7765-36479C6C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6" y="4029075"/>
          <a:ext cx="1996846" cy="84738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211455</xdr:colOff>
      <xdr:row>29</xdr:row>
      <xdr:rowOff>205740</xdr:rowOff>
    </xdr:from>
    <xdr:to>
      <xdr:col>6</xdr:col>
      <xdr:colOff>781050</xdr:colOff>
      <xdr:row>31</xdr:row>
      <xdr:rowOff>190400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9992C0-DC03-B5AE-A3DB-BBEFC8B10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7730" y="6120765"/>
          <a:ext cx="2143125" cy="4037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657225</xdr:colOff>
      <xdr:row>37</xdr:row>
      <xdr:rowOff>104775</xdr:rowOff>
    </xdr:from>
    <xdr:to>
      <xdr:col>6</xdr:col>
      <xdr:colOff>377372</xdr:colOff>
      <xdr:row>39</xdr:row>
      <xdr:rowOff>15285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C28E65B-82A5-2D8E-074C-387FE44E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7696200"/>
          <a:ext cx="1301297" cy="3238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701040</xdr:colOff>
      <xdr:row>39</xdr:row>
      <xdr:rowOff>161925</xdr:rowOff>
    </xdr:from>
    <xdr:to>
      <xdr:col>6</xdr:col>
      <xdr:colOff>321945</xdr:colOff>
      <xdr:row>42</xdr:row>
      <xdr:rowOff>168593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DDF7FEF-C3B7-D19D-C355-5E5527A78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87315" y="8172450"/>
          <a:ext cx="1213485" cy="6353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54430</xdr:colOff>
      <xdr:row>5</xdr:row>
      <xdr:rowOff>54430</xdr:rowOff>
    </xdr:from>
    <xdr:to>
      <xdr:col>18</xdr:col>
      <xdr:colOff>93679</xdr:colOff>
      <xdr:row>7</xdr:row>
      <xdr:rowOff>1409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50FE17-0FF2-4D24-A11B-22FFE4DE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73415" y="4153990"/>
          <a:ext cx="4283589" cy="343219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29</xdr:row>
      <xdr:rowOff>102870</xdr:rowOff>
    </xdr:from>
    <xdr:to>
      <xdr:col>8</xdr:col>
      <xdr:colOff>1273758</xdr:colOff>
      <xdr:row>32</xdr:row>
      <xdr:rowOff>97155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85DC806-E397-EDFC-D1B4-E2AA7545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25640" y="6046470"/>
          <a:ext cx="1892883" cy="6305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152400</xdr:colOff>
      <xdr:row>20</xdr:row>
      <xdr:rowOff>38100</xdr:rowOff>
    </xdr:from>
    <xdr:to>
      <xdr:col>8</xdr:col>
      <xdr:colOff>1217685</xdr:colOff>
      <xdr:row>23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A339E0B-91A1-806C-65AE-6496828F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0" y="4095750"/>
          <a:ext cx="1855860" cy="742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38</xdr:row>
      <xdr:rowOff>209549</xdr:rowOff>
    </xdr:from>
    <xdr:to>
      <xdr:col>8</xdr:col>
      <xdr:colOff>1199083</xdr:colOff>
      <xdr:row>42</xdr:row>
      <xdr:rowOff>19049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8DFBF2F-0E02-7DEE-11B0-1BA67B80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8039099"/>
          <a:ext cx="1993468" cy="6572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400050</xdr:colOff>
      <xdr:row>5</xdr:row>
      <xdr:rowOff>85725</xdr:rowOff>
    </xdr:from>
    <xdr:to>
      <xdr:col>12</xdr:col>
      <xdr:colOff>517684</xdr:colOff>
      <xdr:row>8</xdr:row>
      <xdr:rowOff>95250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0B09A4E-B954-FD8E-3DDB-7B43CB5E0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53850" y="1104900"/>
          <a:ext cx="2258854" cy="5962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139066</xdr:colOff>
      <xdr:row>26</xdr:row>
      <xdr:rowOff>205740</xdr:rowOff>
    </xdr:from>
    <xdr:to>
      <xdr:col>6</xdr:col>
      <xdr:colOff>764655</xdr:colOff>
      <xdr:row>29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6FFC17-7C3F-02FD-010D-BD472498F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416" y="5568315"/>
          <a:ext cx="2616314" cy="5181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</xdr:colOff>
      <xdr:row>1</xdr:row>
      <xdr:rowOff>56727</xdr:rowOff>
    </xdr:from>
    <xdr:to>
      <xdr:col>1</xdr:col>
      <xdr:colOff>1467398</xdr:colOff>
      <xdr:row>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BBE87C-9ACD-7B8F-4946-700C55883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" y="256752"/>
          <a:ext cx="1362623" cy="112437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1666875</xdr:colOff>
      <xdr:row>1</xdr:row>
      <xdr:rowOff>47948</xdr:rowOff>
    </xdr:from>
    <xdr:to>
      <xdr:col>4</xdr:col>
      <xdr:colOff>440055</xdr:colOff>
      <xdr:row>6</xdr:row>
      <xdr:rowOff>18265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BE2268-1C19-2A17-C551-FC1BAC445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0" y="247973"/>
          <a:ext cx="2847975" cy="98949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1301115</xdr:colOff>
      <xdr:row>1</xdr:row>
      <xdr:rowOff>19050</xdr:rowOff>
    </xdr:from>
    <xdr:to>
      <xdr:col>9</xdr:col>
      <xdr:colOff>1638300</xdr:colOff>
      <xdr:row>4</xdr:row>
      <xdr:rowOff>53721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EA32E4-DEA1-4371-F90A-84CC7EE4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8190" y="219075"/>
          <a:ext cx="1927860" cy="63855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180975</xdr:colOff>
      <xdr:row>11</xdr:row>
      <xdr:rowOff>114300</xdr:rowOff>
    </xdr:from>
    <xdr:to>
      <xdr:col>8</xdr:col>
      <xdr:colOff>257175</xdr:colOff>
      <xdr:row>24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55E13A1-5DB0-DDA3-AAA8-C596B94A321F}"/>
            </a:ext>
          </a:extLst>
        </xdr:cNvPr>
        <xdr:cNvCxnSpPr/>
      </xdr:nvCxnSpPr>
      <xdr:spPr>
        <a:xfrm flipV="1">
          <a:off x="5438775" y="2381250"/>
          <a:ext cx="1895475" cy="226695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521970</xdr:colOff>
      <xdr:row>6</xdr:row>
      <xdr:rowOff>171450</xdr:rowOff>
    </xdr:from>
    <xdr:to>
      <xdr:col>7</xdr:col>
      <xdr:colOff>17844</xdr:colOff>
      <xdr:row>8</xdr:row>
      <xdr:rowOff>110490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E03266E-8D32-6195-7D9E-0D797AF7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7170" y="1390650"/>
          <a:ext cx="2656269" cy="3581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762000</xdr:colOff>
      <xdr:row>11</xdr:row>
      <xdr:rowOff>161925</xdr:rowOff>
    </xdr:from>
    <xdr:to>
      <xdr:col>3</xdr:col>
      <xdr:colOff>161925</xdr:colOff>
      <xdr:row>21</xdr:row>
      <xdr:rowOff>11430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D2236D7-BDD8-4E97-A902-C36196B63D38}"/>
            </a:ext>
          </a:extLst>
        </xdr:cNvPr>
        <xdr:cNvCxnSpPr/>
      </xdr:nvCxnSpPr>
      <xdr:spPr>
        <a:xfrm flipV="1">
          <a:off x="3476625" y="2428875"/>
          <a:ext cx="190500" cy="194500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11</xdr:row>
      <xdr:rowOff>192405</xdr:rowOff>
    </xdr:from>
    <xdr:to>
      <xdr:col>3</xdr:col>
      <xdr:colOff>325755</xdr:colOff>
      <xdr:row>28</xdr:row>
      <xdr:rowOff>9525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11989C7D-25A1-4D2C-B0AF-FAA2339D017D}"/>
            </a:ext>
          </a:extLst>
        </xdr:cNvPr>
        <xdr:cNvCxnSpPr/>
      </xdr:nvCxnSpPr>
      <xdr:spPr>
        <a:xfrm flipV="1">
          <a:off x="3486150" y="2459355"/>
          <a:ext cx="344805" cy="337947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</xdr:row>
      <xdr:rowOff>120015</xdr:rowOff>
    </xdr:from>
    <xdr:ext cx="1564005" cy="568423"/>
    <xdr:pic>
      <xdr:nvPicPr>
        <xdr:cNvPr id="3" name="Imagen 2">
          <a:extLst>
            <a:ext uri="{FF2B5EF4-FFF2-40B4-BE49-F238E27FC236}">
              <a16:creationId xmlns:a16="http://schemas.microsoft.com/office/drawing/2014/main" id="{709E72A0-038F-4290-B821-D1350209D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2440" y="702945"/>
          <a:ext cx="1564005" cy="5684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5</xdr:col>
      <xdr:colOff>655320</xdr:colOff>
      <xdr:row>18</xdr:row>
      <xdr:rowOff>137160</xdr:rowOff>
    </xdr:from>
    <xdr:to>
      <xdr:col>6</xdr:col>
      <xdr:colOff>840330</xdr:colOff>
      <xdr:row>21</xdr:row>
      <xdr:rowOff>21016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BB9079-C3B1-413B-AF4A-D70652573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1047750"/>
          <a:ext cx="1602330" cy="4363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160020</xdr:colOff>
      <xdr:row>31</xdr:row>
      <xdr:rowOff>91440</xdr:rowOff>
    </xdr:from>
    <xdr:to>
      <xdr:col>7</xdr:col>
      <xdr:colOff>550760</xdr:colOff>
      <xdr:row>34</xdr:row>
      <xdr:rowOff>97231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A30D76-665C-4CCD-BB07-C8C47FE12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650" y="3638550"/>
          <a:ext cx="1539455" cy="5449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15240</xdr:colOff>
      <xdr:row>18</xdr:row>
      <xdr:rowOff>160020</xdr:rowOff>
    </xdr:from>
    <xdr:to>
      <xdr:col>15</xdr:col>
      <xdr:colOff>625210</xdr:colOff>
      <xdr:row>20</xdr:row>
      <xdr:rowOff>167640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46A065-6D2B-4B44-93B8-9ED33734C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4400" y="1076325"/>
          <a:ext cx="2187310" cy="3676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565486</xdr:colOff>
      <xdr:row>31</xdr:row>
      <xdr:rowOff>160020</xdr:rowOff>
    </xdr:from>
    <xdr:to>
      <xdr:col>15</xdr:col>
      <xdr:colOff>686072</xdr:colOff>
      <xdr:row>34</xdr:row>
      <xdr:rowOff>74346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2427796-82CF-4A37-925B-0935B1342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98306" y="3705225"/>
          <a:ext cx="2494216" cy="45534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556260</xdr:colOff>
      <xdr:row>46</xdr:row>
      <xdr:rowOff>190500</xdr:rowOff>
    </xdr:from>
    <xdr:to>
      <xdr:col>6</xdr:col>
      <xdr:colOff>967741</xdr:colOff>
      <xdr:row>50</xdr:row>
      <xdr:rowOff>34290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8BE663C-F0EE-4963-B5A0-02510004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1975" y="6877050"/>
          <a:ext cx="2809876" cy="57721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255582</xdr:colOff>
      <xdr:row>46</xdr:row>
      <xdr:rowOff>182880</xdr:rowOff>
    </xdr:from>
    <xdr:to>
      <xdr:col>15</xdr:col>
      <xdr:colOff>687952</xdr:colOff>
      <xdr:row>50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9D9E00-0A68-4AFD-88CC-9F9D25B68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79027" y="6867525"/>
          <a:ext cx="2015425" cy="638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121920</xdr:colOff>
      <xdr:row>59</xdr:row>
      <xdr:rowOff>121920</xdr:rowOff>
    </xdr:from>
    <xdr:to>
      <xdr:col>6</xdr:col>
      <xdr:colOff>1139454</xdr:colOff>
      <xdr:row>63</xdr:row>
      <xdr:rowOff>15240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D779C6C-7C96-4E27-AAEF-F2A1CC5D6B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8614"/>
        <a:stretch/>
      </xdr:blipFill>
      <xdr:spPr>
        <a:xfrm>
          <a:off x="4724400" y="9439275"/>
          <a:ext cx="2434854" cy="609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403860</xdr:colOff>
      <xdr:row>59</xdr:row>
      <xdr:rowOff>152400</xdr:rowOff>
    </xdr:from>
    <xdr:to>
      <xdr:col>16</xdr:col>
      <xdr:colOff>285620</xdr:colOff>
      <xdr:row>63</xdr:row>
      <xdr:rowOff>53340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C8B4C75-1786-4DC1-A414-85DA6BAABE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0322" b="-1"/>
        <a:stretch/>
      </xdr:blipFill>
      <xdr:spPr>
        <a:xfrm>
          <a:off x="12725400" y="9467850"/>
          <a:ext cx="2264915" cy="6191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3"/>
  <sheetViews>
    <sheetView tabSelected="1" zoomScaleNormal="100" workbookViewId="0">
      <selection activeCell="H22" sqref="H22"/>
    </sheetView>
  </sheetViews>
  <sheetFormatPr baseColWidth="10" defaultColWidth="8.88671875" defaultRowHeight="14.4"/>
  <cols>
    <col min="1" max="1" width="3.33203125" customWidth="1"/>
    <col min="2" max="2" width="7.109375" bestFit="1" customWidth="1"/>
    <col min="3" max="3" width="9" customWidth="1"/>
    <col min="4" max="4" width="43" bestFit="1" customWidth="1"/>
    <col min="5" max="5" width="21.88671875" bestFit="1" customWidth="1"/>
    <col min="6" max="6" width="18" customWidth="1"/>
    <col min="7" max="7" width="3" bestFit="1" customWidth="1"/>
    <col min="8" max="8" width="14.5546875" bestFit="1" customWidth="1"/>
    <col min="9" max="9" width="14.44140625" bestFit="1" customWidth="1"/>
    <col min="10" max="10" width="2.33203125" customWidth="1"/>
    <col min="11" max="11" width="14.5546875" bestFit="1" customWidth="1"/>
    <col min="12" max="12" width="14.44140625" bestFit="1" customWidth="1"/>
    <col min="13" max="13" width="9.21875" bestFit="1" customWidth="1"/>
    <col min="15" max="15" width="29.33203125" bestFit="1" customWidth="1"/>
    <col min="16" max="16" width="23.5546875" bestFit="1" customWidth="1"/>
    <col min="17" max="17" width="22.6640625" bestFit="1" customWidth="1"/>
    <col min="18" max="18" width="14.33203125" bestFit="1" customWidth="1"/>
    <col min="19" max="19" width="20.6640625" bestFit="1" customWidth="1"/>
    <col min="20" max="20" width="16.6640625" customWidth="1"/>
    <col min="21" max="21" width="27.6640625" bestFit="1" customWidth="1"/>
  </cols>
  <sheetData>
    <row r="5" spans="2:21" ht="15" thickBot="1"/>
    <row r="6" spans="2:21" ht="16.2" thickBot="1">
      <c r="C6" s="23"/>
      <c r="D6" s="24"/>
      <c r="E6" s="253" t="s">
        <v>4</v>
      </c>
      <c r="F6" s="253"/>
      <c r="G6" s="247"/>
      <c r="H6" s="254" t="s">
        <v>5</v>
      </c>
      <c r="I6" s="254"/>
      <c r="J6" s="244"/>
      <c r="K6" s="243" t="s">
        <v>9</v>
      </c>
      <c r="L6" s="243"/>
      <c r="O6" s="275" t="s">
        <v>277</v>
      </c>
      <c r="P6" s="328"/>
      <c r="Q6" s="328"/>
      <c r="R6" s="328"/>
      <c r="S6" s="328"/>
      <c r="T6" s="328"/>
      <c r="U6" s="276"/>
    </row>
    <row r="7" spans="2:21" ht="16.2" thickBot="1">
      <c r="B7" s="1"/>
      <c r="C7" s="2" t="s">
        <v>0</v>
      </c>
      <c r="D7" s="12" t="s">
        <v>1</v>
      </c>
      <c r="E7" s="2" t="s">
        <v>275</v>
      </c>
      <c r="F7" s="2" t="s">
        <v>276</v>
      </c>
      <c r="G7" s="248"/>
      <c r="H7" s="2" t="s">
        <v>275</v>
      </c>
      <c r="I7" s="2" t="s">
        <v>276</v>
      </c>
      <c r="J7" s="245"/>
      <c r="K7" s="2" t="s">
        <v>275</v>
      </c>
      <c r="L7" s="2" t="s">
        <v>276</v>
      </c>
      <c r="O7" s="134"/>
      <c r="P7" s="135"/>
      <c r="Q7" s="136"/>
      <c r="R7" s="135"/>
      <c r="S7" s="135"/>
      <c r="T7" s="102"/>
      <c r="U7" s="366"/>
    </row>
    <row r="8" spans="2:21" ht="16.2" thickBot="1">
      <c r="B8" s="1"/>
      <c r="C8" s="5">
        <v>0</v>
      </c>
      <c r="D8" s="13"/>
      <c r="E8" s="15">
        <v>9300</v>
      </c>
      <c r="F8" s="16">
        <v>5650</v>
      </c>
      <c r="G8" s="248"/>
      <c r="H8" s="15">
        <f>E8*-1</f>
        <v>-9300</v>
      </c>
      <c r="I8" s="16">
        <v>-5000</v>
      </c>
      <c r="J8" s="245"/>
      <c r="K8" s="15">
        <f>E8*-1</f>
        <v>-9300</v>
      </c>
      <c r="L8" s="16">
        <f>F8*-1</f>
        <v>-5650</v>
      </c>
      <c r="O8" s="329"/>
      <c r="P8" s="330"/>
      <c r="Q8" s="138"/>
      <c r="R8" s="51"/>
      <c r="S8" s="51"/>
      <c r="T8" s="4"/>
      <c r="U8" s="148"/>
    </row>
    <row r="9" spans="2:21" ht="16.2" thickBot="1">
      <c r="B9" s="1"/>
      <c r="C9" s="5">
        <v>1</v>
      </c>
      <c r="D9" s="14"/>
      <c r="E9" s="17">
        <v>2830</v>
      </c>
      <c r="F9" s="18">
        <v>1850</v>
      </c>
      <c r="G9" s="248"/>
      <c r="H9" s="17">
        <f>E9</f>
        <v>2830</v>
      </c>
      <c r="I9" s="18">
        <f>F9</f>
        <v>1850</v>
      </c>
      <c r="J9" s="245"/>
      <c r="K9" s="33">
        <f>E9/((1+$E$22)^C9)</f>
        <v>2539.0443646058006</v>
      </c>
      <c r="L9" s="18">
        <f>F9/((1+$F$22)^C9)</f>
        <v>1659.7993196186328</v>
      </c>
      <c r="M9" s="170"/>
      <c r="O9" s="140" t="s">
        <v>278</v>
      </c>
      <c r="P9" s="367">
        <v>8.9999999999999993E-3</v>
      </c>
      <c r="Q9" s="1"/>
      <c r="R9" s="142"/>
      <c r="S9" s="142"/>
      <c r="T9" s="4"/>
      <c r="U9" s="148"/>
    </row>
    <row r="10" spans="2:21" ht="16.2" thickBot="1">
      <c r="B10" s="1"/>
      <c r="C10" s="5">
        <v>2</v>
      </c>
      <c r="D10" s="14"/>
      <c r="E10" s="17">
        <v>2930</v>
      </c>
      <c r="F10" s="18">
        <v>1950</v>
      </c>
      <c r="G10" s="248"/>
      <c r="H10" s="17">
        <f t="shared" ref="H10:H18" si="0">E10</f>
        <v>2930</v>
      </c>
      <c r="I10" s="18">
        <f t="shared" ref="I10:I18" si="1">F10</f>
        <v>1950</v>
      </c>
      <c r="J10" s="245"/>
      <c r="K10" s="33">
        <f t="shared" ref="K10:K18" si="2">E10/((1+$E$22)^C10)</f>
        <v>2358.4969991295766</v>
      </c>
      <c r="L10" s="18">
        <f t="shared" ref="L10:L18" si="3">F10/((1+$F$22)^C10)</f>
        <v>1569.6481734821414</v>
      </c>
      <c r="O10" s="144"/>
      <c r="P10" s="368"/>
      <c r="Q10" s="1"/>
      <c r="R10" s="51"/>
      <c r="S10" s="51"/>
      <c r="T10" s="4"/>
      <c r="U10" s="148"/>
    </row>
    <row r="11" spans="2:21" ht="16.2" thickBot="1">
      <c r="B11" s="1"/>
      <c r="C11" s="5">
        <v>3</v>
      </c>
      <c r="D11" s="14"/>
      <c r="E11" s="17">
        <v>3030</v>
      </c>
      <c r="F11" s="18">
        <v>2050</v>
      </c>
      <c r="G11" s="248"/>
      <c r="H11" s="17">
        <f t="shared" si="0"/>
        <v>3030</v>
      </c>
      <c r="I11" s="18">
        <f t="shared" si="1"/>
        <v>2050</v>
      </c>
      <c r="J11" s="245"/>
      <c r="K11" s="33">
        <f t="shared" si="2"/>
        <v>2188.2361580791276</v>
      </c>
      <c r="L11" s="18">
        <f>F11/((1+$F$22)^C11)</f>
        <v>1480.489809921522</v>
      </c>
      <c r="O11" s="144"/>
      <c r="P11" s="369"/>
      <c r="Q11" s="1"/>
      <c r="R11" s="51"/>
      <c r="S11" s="51"/>
      <c r="T11" s="4"/>
      <c r="U11" s="148"/>
    </row>
    <row r="12" spans="2:21" ht="16.2" thickBot="1">
      <c r="B12" s="1"/>
      <c r="C12" s="5">
        <v>4</v>
      </c>
      <c r="D12" s="14"/>
      <c r="E12" s="17">
        <v>3130</v>
      </c>
      <c r="F12" s="18">
        <v>2150</v>
      </c>
      <c r="G12" s="248"/>
      <c r="H12" s="17">
        <f t="shared" si="0"/>
        <v>3130</v>
      </c>
      <c r="I12" s="18">
        <f t="shared" si="1"/>
        <v>2150</v>
      </c>
      <c r="J12" s="245"/>
      <c r="K12" s="33">
        <f t="shared" si="2"/>
        <v>2028.0551127033596</v>
      </c>
      <c r="L12" s="18">
        <f t="shared" si="3"/>
        <v>1393.0730007387294</v>
      </c>
      <c r="O12" s="144"/>
      <c r="P12" s="369"/>
      <c r="Q12" s="1"/>
      <c r="R12" s="51"/>
      <c r="S12" s="51"/>
      <c r="T12" s="4"/>
      <c r="U12" s="148"/>
    </row>
    <row r="13" spans="2:21" ht="16.2" thickBot="1">
      <c r="B13" s="1"/>
      <c r="C13" s="5">
        <v>5</v>
      </c>
      <c r="D13" s="14"/>
      <c r="E13" s="17">
        <v>3230</v>
      </c>
      <c r="F13" s="18">
        <v>2250</v>
      </c>
      <c r="G13" s="248"/>
      <c r="H13" s="17">
        <f t="shared" si="0"/>
        <v>3230</v>
      </c>
      <c r="I13" s="18">
        <f t="shared" si="1"/>
        <v>2250</v>
      </c>
      <c r="J13" s="245"/>
      <c r="K13" s="33">
        <f t="shared" si="2"/>
        <v>1877.6809123170067</v>
      </c>
      <c r="L13" s="18">
        <f t="shared" si="3"/>
        <v>1307.9820596635495</v>
      </c>
      <c r="O13" s="147"/>
      <c r="P13" s="4"/>
      <c r="Q13" s="1"/>
      <c r="R13" s="4"/>
      <c r="S13" s="4"/>
      <c r="T13" s="4"/>
      <c r="U13" s="148"/>
    </row>
    <row r="14" spans="2:21" ht="16.2" thickBot="1">
      <c r="B14" s="1"/>
      <c r="C14" s="5">
        <v>6</v>
      </c>
      <c r="D14" s="14"/>
      <c r="E14" s="17"/>
      <c r="F14" s="18"/>
      <c r="G14" s="248"/>
      <c r="H14" s="17">
        <f t="shared" si="0"/>
        <v>0</v>
      </c>
      <c r="I14" s="18">
        <f t="shared" si="1"/>
        <v>0</v>
      </c>
      <c r="J14" s="245"/>
      <c r="K14" s="33">
        <f>E14/((1+$E$22)^C14)</f>
        <v>0</v>
      </c>
      <c r="L14" s="18">
        <f t="shared" si="3"/>
        <v>0</v>
      </c>
      <c r="O14" s="370">
        <f>O16</f>
        <v>9.081735620585266E-3</v>
      </c>
      <c r="P14" s="4"/>
      <c r="Q14" s="1"/>
      <c r="R14" s="4"/>
      <c r="S14" s="4"/>
      <c r="T14" s="4"/>
      <c r="U14" s="148"/>
    </row>
    <row r="15" spans="2:21" ht="16.2" thickBot="1">
      <c r="B15" s="1"/>
      <c r="C15" s="5">
        <v>7</v>
      </c>
      <c r="D15" s="14"/>
      <c r="E15" s="17"/>
      <c r="F15" s="18"/>
      <c r="G15" s="248"/>
      <c r="H15" s="17">
        <f t="shared" si="0"/>
        <v>0</v>
      </c>
      <c r="I15" s="18">
        <f t="shared" si="1"/>
        <v>0</v>
      </c>
      <c r="J15" s="245"/>
      <c r="K15" s="17">
        <f>E15/((1+$E$22)^C15)</f>
        <v>0</v>
      </c>
      <c r="L15" s="18">
        <f t="shared" si="3"/>
        <v>0</v>
      </c>
      <c r="O15" s="131" t="s">
        <v>279</v>
      </c>
      <c r="P15" s="1" t="s">
        <v>280</v>
      </c>
      <c r="Q15" s="1" t="s">
        <v>281</v>
      </c>
      <c r="R15" s="1" t="s">
        <v>280</v>
      </c>
      <c r="S15" s="1"/>
      <c r="T15" s="1"/>
      <c r="U15" s="148"/>
    </row>
    <row r="16" spans="2:21" ht="16.2" thickBot="1">
      <c r="B16" s="1"/>
      <c r="C16" s="5">
        <v>8</v>
      </c>
      <c r="D16" s="14"/>
      <c r="E16" s="17"/>
      <c r="F16" s="18"/>
      <c r="G16" s="248"/>
      <c r="H16" s="17">
        <f t="shared" si="0"/>
        <v>0</v>
      </c>
      <c r="I16" s="18">
        <f t="shared" si="1"/>
        <v>0</v>
      </c>
      <c r="J16" s="245"/>
      <c r="K16" s="17">
        <f t="shared" si="2"/>
        <v>0</v>
      </c>
      <c r="L16" s="18">
        <f t="shared" si="3"/>
        <v>0</v>
      </c>
      <c r="O16" s="371">
        <f>P16/(Q16-R16)</f>
        <v>9.081735620585266E-3</v>
      </c>
      <c r="P16" s="372">
        <f>P9</f>
        <v>8.9999999999999993E-3</v>
      </c>
      <c r="Q16" s="156">
        <v>1</v>
      </c>
      <c r="R16" s="373">
        <f>P9</f>
        <v>8.9999999999999993E-3</v>
      </c>
      <c r="S16" s="374"/>
      <c r="T16" s="375"/>
      <c r="U16" s="148"/>
    </row>
    <row r="17" spans="2:21" ht="16.2" thickBot="1">
      <c r="C17" s="5">
        <v>9</v>
      </c>
      <c r="D17" s="14"/>
      <c r="E17" s="17"/>
      <c r="F17" s="18"/>
      <c r="G17" s="248"/>
      <c r="H17" s="17">
        <f t="shared" si="0"/>
        <v>0</v>
      </c>
      <c r="I17" s="18">
        <f t="shared" si="1"/>
        <v>0</v>
      </c>
      <c r="J17" s="245"/>
      <c r="K17" s="17">
        <f t="shared" si="2"/>
        <v>0</v>
      </c>
      <c r="L17" s="18">
        <f t="shared" si="3"/>
        <v>0</v>
      </c>
      <c r="O17" s="159"/>
      <c r="P17" s="160"/>
      <c r="Q17" s="161"/>
      <c r="R17" s="162"/>
      <c r="S17" s="160"/>
      <c r="T17" s="101"/>
      <c r="U17" s="376"/>
    </row>
    <row r="18" spans="2:21" ht="16.2" thickBot="1">
      <c r="C18" s="5">
        <v>10</v>
      </c>
      <c r="D18" s="14"/>
      <c r="E18" s="19"/>
      <c r="F18" s="20"/>
      <c r="G18" s="248"/>
      <c r="H18" s="17">
        <f t="shared" si="0"/>
        <v>0</v>
      </c>
      <c r="I18" s="18">
        <f t="shared" si="1"/>
        <v>0</v>
      </c>
      <c r="J18" s="246"/>
      <c r="K18" s="17">
        <f t="shared" si="2"/>
        <v>0</v>
      </c>
      <c r="L18" s="18">
        <f t="shared" si="3"/>
        <v>0</v>
      </c>
    </row>
    <row r="21" spans="2:21" ht="16.8" thickBot="1">
      <c r="E21" s="32">
        <f>E22</f>
        <v>0.11459257642367815</v>
      </c>
      <c r="F21" s="32">
        <f>F22</f>
        <v>0.11459257642367815</v>
      </c>
    </row>
    <row r="22" spans="2:21" ht="16.2" thickBot="1">
      <c r="B22" s="257" t="s">
        <v>7</v>
      </c>
      <c r="C22" s="249" t="s">
        <v>2</v>
      </c>
      <c r="D22" s="250"/>
      <c r="E22" s="492">
        <v>0.11459257642367815</v>
      </c>
      <c r="F22" s="168">
        <f>E22</f>
        <v>0.11459257642367815</v>
      </c>
      <c r="G22" s="25"/>
    </row>
    <row r="23" spans="2:21" ht="16.8" thickBot="1">
      <c r="B23" s="258"/>
      <c r="C23" s="251" t="s">
        <v>8</v>
      </c>
      <c r="D23" s="252"/>
      <c r="E23" s="7">
        <f>NPV(E22,E9:E18)</f>
        <v>10991.513546834871</v>
      </c>
      <c r="F23" s="8">
        <f>NPV(F22,F9:F18)</f>
        <v>7410.9923634245761</v>
      </c>
      <c r="G23" s="26"/>
    </row>
    <row r="24" spans="2:21" ht="16.2" thickBot="1">
      <c r="D24" s="4"/>
      <c r="E24" s="4"/>
      <c r="F24" s="4"/>
      <c r="G24" s="4"/>
    </row>
    <row r="25" spans="2:21" ht="16.2" thickBot="1">
      <c r="B25" s="31"/>
      <c r="C25" s="275" t="s">
        <v>4</v>
      </c>
      <c r="D25" s="276"/>
      <c r="E25" s="7">
        <f>E23-E8</f>
        <v>1691.5135468348708</v>
      </c>
      <c r="F25" s="8">
        <f>F23-F8</f>
        <v>1760.9923634245761</v>
      </c>
      <c r="G25" s="26"/>
    </row>
    <row r="26" spans="2:21" ht="15" thickBot="1">
      <c r="B26" s="31"/>
      <c r="C26" s="272" t="s">
        <v>3</v>
      </c>
      <c r="D26" s="273"/>
      <c r="E26" s="273"/>
      <c r="F26" s="274"/>
      <c r="G26" s="27"/>
    </row>
    <row r="27" spans="2:21" ht="15" thickBot="1"/>
    <row r="28" spans="2:21" ht="16.2" thickBot="1">
      <c r="B28" s="31"/>
      <c r="C28" s="259" t="s">
        <v>5</v>
      </c>
      <c r="D28" s="260"/>
      <c r="E28" s="21">
        <f>IRR(H8:H18)</f>
        <v>0.18337975454323252</v>
      </c>
      <c r="F28" s="22">
        <f>IRR(I8:I18)</f>
        <v>0.28672806152219144</v>
      </c>
      <c r="G28" s="28"/>
    </row>
    <row r="29" spans="2:21" ht="15" thickBot="1">
      <c r="B29" s="31"/>
      <c r="C29" s="269" t="s">
        <v>274</v>
      </c>
      <c r="D29" s="270"/>
      <c r="E29" s="270"/>
      <c r="F29" s="271"/>
      <c r="G29" s="27"/>
    </row>
    <row r="30" spans="2:21" ht="15" thickBot="1"/>
    <row r="31" spans="2:21" ht="16.2" thickBot="1">
      <c r="B31" s="31"/>
      <c r="C31" s="261" t="s">
        <v>6</v>
      </c>
      <c r="D31" s="262"/>
      <c r="E31" s="29">
        <f>E23/E8</f>
        <v>1.1818831770790184</v>
      </c>
      <c r="F31" s="30">
        <f>F23/F8</f>
        <v>1.3116800643229338</v>
      </c>
      <c r="G31" s="28"/>
    </row>
    <row r="32" spans="2:21" ht="15" thickBot="1">
      <c r="B32" s="31"/>
      <c r="C32" s="266" t="s">
        <v>3</v>
      </c>
      <c r="D32" s="267"/>
      <c r="E32" s="267"/>
      <c r="F32" s="268"/>
      <c r="G32" s="27"/>
    </row>
    <row r="34" spans="2:7" ht="15" thickBot="1">
      <c r="E34" s="36" t="s">
        <v>10</v>
      </c>
      <c r="F34" s="36" t="s">
        <v>11</v>
      </c>
      <c r="G34" s="38" t="s">
        <v>13</v>
      </c>
    </row>
    <row r="35" spans="2:7" ht="16.2" thickBot="1">
      <c r="B35" s="31"/>
      <c r="C35" s="277" t="s">
        <v>12</v>
      </c>
      <c r="D35" s="278"/>
      <c r="E35" s="29">
        <f>K8</f>
        <v>-9300</v>
      </c>
      <c r="F35" s="30">
        <f>L8</f>
        <v>-5650</v>
      </c>
      <c r="G35" s="39">
        <v>0</v>
      </c>
    </row>
    <row r="36" spans="2:7" ht="16.2" thickBot="1">
      <c r="B36" s="31"/>
      <c r="C36" s="279"/>
      <c r="D36" s="280"/>
      <c r="E36" s="29">
        <f>$K$8+K9</f>
        <v>-6760.9556353941989</v>
      </c>
      <c r="F36" s="35">
        <f>$L$8+L9</f>
        <v>-3990.2006803813674</v>
      </c>
      <c r="G36" s="39">
        <v>1</v>
      </c>
    </row>
    <row r="37" spans="2:7" ht="16.2" thickBot="1">
      <c r="B37" s="31"/>
      <c r="C37" s="279"/>
      <c r="D37" s="280"/>
      <c r="E37" s="29">
        <f>$K$8+K9+K10</f>
        <v>-4402.4586362646223</v>
      </c>
      <c r="F37" s="35">
        <f>$L$8+L9+L10</f>
        <v>-2420.552506899226</v>
      </c>
      <c r="G37" s="39">
        <v>2</v>
      </c>
    </row>
    <row r="38" spans="2:7" ht="16.2" thickBot="1">
      <c r="B38" s="31"/>
      <c r="C38" s="279"/>
      <c r="D38" s="280"/>
      <c r="E38" s="29">
        <f>$K$8+K10+K11+K9</f>
        <v>-2214.2224781854952</v>
      </c>
      <c r="F38" s="35">
        <f>$L$8+L10+L11+L9</f>
        <v>-940.06269697770381</v>
      </c>
      <c r="G38" s="39">
        <v>3</v>
      </c>
    </row>
    <row r="39" spans="2:7" ht="16.2" thickBot="1">
      <c r="B39" s="31"/>
      <c r="C39" s="279"/>
      <c r="D39" s="280"/>
      <c r="E39" s="29">
        <f>$K$8+K11+K12+K10+K9</f>
        <v>-186.16736548213566</v>
      </c>
      <c r="F39" s="35">
        <f>$L$8+L11+L12+L10+L9</f>
        <v>453.01030376102585</v>
      </c>
      <c r="G39" s="39">
        <v>4</v>
      </c>
    </row>
    <row r="40" spans="2:7" ht="16.2" thickBot="1">
      <c r="B40" s="31"/>
      <c r="C40" s="279"/>
      <c r="D40" s="280"/>
      <c r="E40" s="45">
        <f>$K$8+K12+K13+K11+K10+K9</f>
        <v>1691.5135468348712</v>
      </c>
      <c r="F40" s="35">
        <f>$L$8+L12+L13+L11+L10+L9</f>
        <v>1760.9923634245749</v>
      </c>
      <c r="G40" s="46">
        <v>5</v>
      </c>
    </row>
    <row r="41" spans="2:7" ht="16.2" thickBot="1">
      <c r="B41" s="31"/>
      <c r="C41" s="279"/>
      <c r="D41" s="280"/>
      <c r="E41" s="29">
        <f>$K$8+K13+K14+K12+K11+K10+K9</f>
        <v>1691.5135468348712</v>
      </c>
      <c r="F41" s="35">
        <f>$L$8+L13+L14+L12+L11+L10+L9</f>
        <v>1760.9923634245745</v>
      </c>
      <c r="G41" s="39">
        <v>6</v>
      </c>
    </row>
    <row r="42" spans="2:7" ht="16.2" thickBot="1">
      <c r="B42" s="31"/>
      <c r="C42" s="279"/>
      <c r="D42" s="280"/>
      <c r="E42" s="29">
        <f>$K$8+K14+K15+K13+K9+K10+K11+K12</f>
        <v>1691.5135468348708</v>
      </c>
      <c r="F42" s="35">
        <f>$L$8+L14+L15+L13+L9+L10+L11+L12</f>
        <v>1760.9923634245745</v>
      </c>
      <c r="G42" s="39">
        <v>7</v>
      </c>
    </row>
    <row r="43" spans="2:7" ht="16.2" thickBot="1">
      <c r="B43" s="31"/>
      <c r="C43" s="279"/>
      <c r="D43" s="280"/>
      <c r="E43" s="29"/>
      <c r="F43" s="34"/>
      <c r="G43" s="39">
        <v>8</v>
      </c>
    </row>
    <row r="44" spans="2:7" ht="16.2" thickBot="1">
      <c r="B44" s="31"/>
      <c r="C44" s="279"/>
      <c r="D44" s="280"/>
      <c r="E44" s="29"/>
      <c r="F44" s="34"/>
      <c r="G44" s="39">
        <v>9</v>
      </c>
    </row>
    <row r="45" spans="2:7" ht="16.2" thickBot="1">
      <c r="B45" s="31"/>
      <c r="C45" s="281"/>
      <c r="D45" s="282"/>
      <c r="E45" s="29"/>
      <c r="F45" s="34"/>
      <c r="G45" s="39">
        <v>10</v>
      </c>
    </row>
    <row r="46" spans="2:7" ht="15" thickBot="1">
      <c r="B46" s="31"/>
      <c r="C46" s="263" t="s">
        <v>3</v>
      </c>
      <c r="D46" s="264"/>
      <c r="E46" s="264"/>
      <c r="F46" s="265"/>
    </row>
    <row r="47" spans="2:7" ht="15" thickBot="1">
      <c r="B47" s="31"/>
    </row>
    <row r="48" spans="2:7" ht="16.2" thickBot="1">
      <c r="B48" s="31"/>
      <c r="D48" s="41" t="s">
        <v>14</v>
      </c>
      <c r="E48" s="47" t="s">
        <v>16</v>
      </c>
      <c r="F48" s="44"/>
    </row>
    <row r="49" spans="2:6" ht="16.2" thickBot="1">
      <c r="B49" s="31"/>
      <c r="D49" s="43" t="s">
        <v>15</v>
      </c>
      <c r="E49" s="47" t="s">
        <v>17</v>
      </c>
      <c r="F49" s="44"/>
    </row>
    <row r="50" spans="2:6" ht="16.8" thickBot="1">
      <c r="B50" s="31"/>
      <c r="D50" s="37" t="s">
        <v>21</v>
      </c>
      <c r="E50" s="42">
        <f>(E39-E38)/(G39-G38)</f>
        <v>2028.0551127033596</v>
      </c>
      <c r="F50" s="42">
        <f>(F39-F38)/(G39-G38)</f>
        <v>1393.0730007387297</v>
      </c>
    </row>
    <row r="51" spans="2:6" ht="15.6">
      <c r="B51" s="50"/>
      <c r="C51" s="4"/>
      <c r="D51" s="4"/>
      <c r="E51" s="169" t="s">
        <v>114</v>
      </c>
      <c r="F51" s="169" t="s">
        <v>114</v>
      </c>
    </row>
    <row r="52" spans="2:6" ht="16.2">
      <c r="B52" s="50"/>
      <c r="C52" s="4"/>
      <c r="D52" s="255" t="s">
        <v>18</v>
      </c>
      <c r="E52" s="255"/>
      <c r="F52" s="255"/>
    </row>
    <row r="53" spans="2:6" ht="16.2" thickBot="1">
      <c r="B53" s="50"/>
      <c r="C53" s="4"/>
      <c r="D53" s="4"/>
      <c r="E53" s="4"/>
      <c r="F53" s="4"/>
    </row>
    <row r="54" spans="2:6" ht="16.2" thickBot="1">
      <c r="B54" s="50"/>
      <c r="C54" s="4"/>
      <c r="D54" s="41" t="s">
        <v>14</v>
      </c>
      <c r="E54" s="47" t="s">
        <v>20</v>
      </c>
      <c r="F54" s="47" t="s">
        <v>20</v>
      </c>
    </row>
    <row r="55" spans="2:6" ht="16.2" thickBot="1">
      <c r="B55" s="50"/>
      <c r="C55" s="4"/>
      <c r="D55" s="43" t="s">
        <v>15</v>
      </c>
      <c r="E55" s="47" t="s">
        <v>19</v>
      </c>
      <c r="F55" s="47" t="s">
        <v>19</v>
      </c>
    </row>
    <row r="56" spans="2:6" ht="16.8" thickBot="1">
      <c r="B56" s="50"/>
      <c r="C56" s="4"/>
      <c r="D56" s="37" t="s">
        <v>22</v>
      </c>
      <c r="E56" s="48">
        <f>(0-E39+G39*E50)/E50</f>
        <v>4.091796009051242</v>
      </c>
      <c r="F56" s="49">
        <f>(0-F41+G41*F50)/F50</f>
        <v>4.7358936950965651</v>
      </c>
    </row>
    <row r="57" spans="2:6" ht="15.6">
      <c r="B57" s="4"/>
      <c r="C57" s="4"/>
      <c r="D57" s="4"/>
      <c r="E57" s="169" t="s">
        <v>114</v>
      </c>
      <c r="F57" s="169" t="s">
        <v>114</v>
      </c>
    </row>
    <row r="58" spans="2:6" ht="16.2">
      <c r="B58" s="4"/>
      <c r="C58" s="4"/>
      <c r="D58" s="256" t="s">
        <v>23</v>
      </c>
      <c r="E58" s="256"/>
      <c r="F58" s="256"/>
    </row>
    <row r="59" spans="2:6" ht="15.6">
      <c r="B59" s="4"/>
      <c r="C59" s="4"/>
      <c r="D59" s="4"/>
      <c r="E59" s="4"/>
      <c r="F59" s="4"/>
    </row>
    <row r="60" spans="2:6" ht="15.6">
      <c r="B60" s="4"/>
      <c r="C60" s="4"/>
      <c r="D60" s="4"/>
      <c r="E60" s="4"/>
      <c r="F60" s="4"/>
    </row>
    <row r="61" spans="2:6" ht="15.6">
      <c r="B61" s="4"/>
      <c r="C61" s="4"/>
      <c r="D61" s="4"/>
      <c r="E61" s="4"/>
      <c r="F61" s="4"/>
    </row>
    <row r="62" spans="2:6" ht="15.6">
      <c r="B62" s="4"/>
      <c r="C62" s="4"/>
      <c r="D62" s="4"/>
      <c r="E62" s="4"/>
      <c r="F62" s="4"/>
    </row>
    <row r="63" spans="2:6" ht="15.6">
      <c r="B63" s="4"/>
      <c r="C63" s="4"/>
      <c r="D63" s="4"/>
      <c r="E63" s="4"/>
      <c r="F63" s="4"/>
    </row>
    <row r="64" spans="2:6" ht="15.6">
      <c r="B64" s="4"/>
      <c r="C64" s="4"/>
      <c r="D64" s="4"/>
      <c r="E64" s="4"/>
      <c r="F64" s="4"/>
    </row>
    <row r="65" spans="2:6" ht="15.6">
      <c r="B65" s="4"/>
      <c r="C65" s="4"/>
      <c r="D65" s="4"/>
      <c r="E65" s="4"/>
      <c r="F65" s="4"/>
    </row>
    <row r="66" spans="2:6" ht="15.6">
      <c r="B66" s="4"/>
      <c r="C66" s="4"/>
      <c r="D66" s="4"/>
      <c r="E66" s="4"/>
      <c r="F66" s="4"/>
    </row>
    <row r="67" spans="2:6" ht="15.6">
      <c r="B67" s="4"/>
      <c r="C67" s="4"/>
      <c r="D67" s="4"/>
      <c r="E67" s="4"/>
      <c r="F67" s="4"/>
    </row>
    <row r="68" spans="2:6" ht="15.6">
      <c r="B68" s="4"/>
      <c r="C68" s="4"/>
      <c r="D68" s="4"/>
      <c r="E68" s="4"/>
      <c r="F68" s="4"/>
    </row>
    <row r="69" spans="2:6" ht="15.6">
      <c r="B69" s="4"/>
      <c r="C69" s="4"/>
      <c r="D69" s="4"/>
      <c r="E69" s="4"/>
      <c r="F69" s="4"/>
    </row>
    <row r="70" spans="2:6" ht="15.6">
      <c r="B70" s="4"/>
      <c r="C70" s="4"/>
      <c r="D70" s="4"/>
      <c r="E70" s="4"/>
      <c r="F70" s="4"/>
    </row>
    <row r="71" spans="2:6" ht="15.6">
      <c r="B71" s="4"/>
      <c r="C71" s="4"/>
      <c r="D71" s="4"/>
      <c r="E71" s="4"/>
      <c r="F71" s="4"/>
    </row>
    <row r="72" spans="2:6" ht="15.6">
      <c r="B72" s="4"/>
      <c r="C72" s="4"/>
      <c r="D72" s="4"/>
      <c r="E72" s="4"/>
      <c r="F72" s="4"/>
    </row>
    <row r="73" spans="2:6" ht="15.6">
      <c r="B73" s="4"/>
      <c r="C73" s="4"/>
      <c r="D73" s="4"/>
      <c r="E73" s="4"/>
      <c r="F73" s="4"/>
    </row>
  </sheetData>
  <mergeCells count="20">
    <mergeCell ref="O6:U6"/>
    <mergeCell ref="O8:P8"/>
    <mergeCell ref="D52:F52"/>
    <mergeCell ref="D58:F58"/>
    <mergeCell ref="B22:B23"/>
    <mergeCell ref="C28:D28"/>
    <mergeCell ref="C31:D31"/>
    <mergeCell ref="C46:F46"/>
    <mergeCell ref="C32:F32"/>
    <mergeCell ref="C29:F29"/>
    <mergeCell ref="C26:F26"/>
    <mergeCell ref="C25:D25"/>
    <mergeCell ref="C35:D45"/>
    <mergeCell ref="K6:L6"/>
    <mergeCell ref="J6:J18"/>
    <mergeCell ref="G6:G18"/>
    <mergeCell ref="C22:D22"/>
    <mergeCell ref="C23:D23"/>
    <mergeCell ref="E6:F6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BDD1-B558-40F1-A477-8DC4C8924387}">
  <dimension ref="A1:V40"/>
  <sheetViews>
    <sheetView topLeftCell="K1" zoomScale="85" zoomScaleNormal="85" workbookViewId="0">
      <selection activeCell="U18" sqref="U18"/>
    </sheetView>
  </sheetViews>
  <sheetFormatPr baseColWidth="10" defaultRowHeight="15.6"/>
  <cols>
    <col min="1" max="1" width="3.6640625" style="4" customWidth="1"/>
    <col min="2" max="2" width="46.21875" style="4" bestFit="1" customWidth="1"/>
    <col min="3" max="3" width="20.33203125" style="4" bestFit="1" customWidth="1"/>
    <col min="4" max="4" width="13.33203125" style="4" bestFit="1" customWidth="1"/>
    <col min="5" max="5" width="15.88671875" style="4" customWidth="1"/>
    <col min="6" max="6" width="9.88671875" style="95" customWidth="1"/>
    <col min="7" max="7" width="54" style="4" bestFit="1" customWidth="1"/>
    <col min="8" max="8" width="20.33203125" style="4" bestFit="1" customWidth="1"/>
    <col min="9" max="9" width="16.33203125" style="4" customWidth="1"/>
    <col min="10" max="10" width="11.5546875" style="1"/>
    <col min="11" max="11" width="11.5546875" style="94"/>
    <col min="12" max="12" width="70.5546875" style="4" bestFit="1" customWidth="1"/>
    <col min="13" max="13" width="20.33203125" style="4" bestFit="1" customWidth="1"/>
    <col min="14" max="14" width="16.33203125" style="4" customWidth="1"/>
    <col min="15" max="15" width="22.44140625" style="4" bestFit="1" customWidth="1"/>
    <col min="16" max="16" width="13.33203125" style="4" bestFit="1" customWidth="1"/>
    <col min="17" max="17" width="11.5546875" style="4"/>
    <col min="18" max="18" width="11.5546875" style="94"/>
    <col min="19" max="19" width="70.5546875" style="4" customWidth="1"/>
    <col min="20" max="20" width="20.33203125" style="4" bestFit="1" customWidth="1"/>
    <col min="21" max="21" width="16.33203125" style="4" customWidth="1"/>
    <col min="22" max="22" width="11.5546875" style="4"/>
  </cols>
  <sheetData>
    <row r="1" spans="2:21" ht="16.2" thickBot="1">
      <c r="C1" s="1"/>
      <c r="D1" s="1"/>
    </row>
    <row r="2" spans="2:21" ht="16.8" thickBot="1">
      <c r="B2" s="292" t="s">
        <v>33</v>
      </c>
      <c r="C2" s="293"/>
      <c r="D2" s="294"/>
      <c r="G2" s="295" t="s">
        <v>42</v>
      </c>
      <c r="H2" s="296"/>
      <c r="I2" s="297"/>
      <c r="J2" s="54"/>
      <c r="K2" s="98"/>
      <c r="L2" s="286" t="s">
        <v>59</v>
      </c>
      <c r="M2" s="287"/>
      <c r="N2" s="288"/>
      <c r="O2" s="54"/>
      <c r="S2" s="286" t="s">
        <v>270</v>
      </c>
      <c r="T2" s="287"/>
      <c r="U2" s="288"/>
    </row>
    <row r="3" spans="2:21">
      <c r="C3" s="1"/>
      <c r="D3" s="1"/>
    </row>
    <row r="4" spans="2:21" ht="16.2" thickBot="1">
      <c r="C4" s="1"/>
      <c r="D4" s="1"/>
      <c r="L4" s="1"/>
    </row>
    <row r="5" spans="2:21" ht="16.8" thickBot="1">
      <c r="C5" s="1"/>
      <c r="D5" s="1"/>
      <c r="L5" s="57" t="s">
        <v>25</v>
      </c>
      <c r="M5" s="62">
        <v>5000</v>
      </c>
      <c r="N5" s="63">
        <v>7500</v>
      </c>
      <c r="O5" s="114"/>
      <c r="S5" s="57" t="s">
        <v>25</v>
      </c>
      <c r="T5" s="62">
        <v>5000</v>
      </c>
      <c r="U5" s="114"/>
    </row>
    <row r="6" spans="2:21" ht="16.8" thickBot="1">
      <c r="C6" s="1"/>
      <c r="D6" s="1"/>
      <c r="F6" s="96"/>
      <c r="G6" s="57" t="s">
        <v>25</v>
      </c>
      <c r="H6" s="62">
        <v>80000</v>
      </c>
      <c r="I6" s="63">
        <v>90000</v>
      </c>
      <c r="L6" s="53" t="s">
        <v>72</v>
      </c>
      <c r="M6" s="66">
        <v>2</v>
      </c>
      <c r="N6" s="67">
        <v>3</v>
      </c>
      <c r="O6" s="115" t="s">
        <v>73</v>
      </c>
      <c r="S6" s="53" t="s">
        <v>271</v>
      </c>
      <c r="T6" s="66">
        <v>10000</v>
      </c>
      <c r="U6" s="115"/>
    </row>
    <row r="7" spans="2:21" ht="16.8" thickBot="1">
      <c r="B7" s="57" t="s">
        <v>25</v>
      </c>
      <c r="C7" s="62">
        <v>100000</v>
      </c>
      <c r="D7" s="63">
        <v>140000</v>
      </c>
      <c r="E7" s="10"/>
      <c r="G7" s="53" t="s">
        <v>55</v>
      </c>
      <c r="H7" s="58">
        <v>30000</v>
      </c>
      <c r="I7" s="60">
        <v>23000</v>
      </c>
      <c r="L7" s="53" t="s">
        <v>43</v>
      </c>
      <c r="M7" s="105">
        <v>100</v>
      </c>
      <c r="N7" s="106">
        <v>1000</v>
      </c>
      <c r="O7" s="116"/>
      <c r="S7" s="53" t="s">
        <v>272</v>
      </c>
      <c r="T7" s="105">
        <v>8</v>
      </c>
      <c r="U7" s="116"/>
    </row>
    <row r="8" spans="2:21" ht="16.8" thickBot="1">
      <c r="B8" s="53" t="s">
        <v>49</v>
      </c>
      <c r="C8" s="58">
        <v>3000</v>
      </c>
      <c r="D8" s="60">
        <v>1000</v>
      </c>
      <c r="E8" s="10" t="s">
        <v>31</v>
      </c>
      <c r="G8" s="53" t="s">
        <v>43</v>
      </c>
      <c r="H8" s="66">
        <v>10000</v>
      </c>
      <c r="I8" s="67">
        <v>20000</v>
      </c>
      <c r="L8" s="53" t="s">
        <v>64</v>
      </c>
      <c r="M8" s="58">
        <v>200</v>
      </c>
      <c r="N8" s="60">
        <v>100</v>
      </c>
      <c r="O8" s="1"/>
      <c r="S8" s="53" t="s">
        <v>273</v>
      </c>
      <c r="T8" s="58">
        <v>100000</v>
      </c>
      <c r="U8" s="1"/>
    </row>
    <row r="9" spans="2:21" ht="16.8" thickBot="1">
      <c r="B9" s="53" t="s">
        <v>24</v>
      </c>
      <c r="C9" s="58">
        <v>20000</v>
      </c>
      <c r="D9" s="60">
        <v>70000</v>
      </c>
      <c r="E9" s="10"/>
      <c r="G9" s="53" t="s">
        <v>27</v>
      </c>
      <c r="H9" s="66">
        <v>4</v>
      </c>
      <c r="I9" s="67">
        <v>7</v>
      </c>
      <c r="L9" s="53" t="s">
        <v>51</v>
      </c>
      <c r="M9" s="59">
        <v>0.18</v>
      </c>
      <c r="N9" s="6">
        <f>M9</f>
        <v>0.18</v>
      </c>
      <c r="O9" s="25"/>
      <c r="S9" s="53" t="s">
        <v>44</v>
      </c>
      <c r="T9" s="59">
        <v>0.25</v>
      </c>
      <c r="U9" s="25"/>
    </row>
    <row r="10" spans="2:21" ht="16.8" thickBot="1">
      <c r="B10" s="53" t="s">
        <v>51</v>
      </c>
      <c r="C10" s="59">
        <v>0.1</v>
      </c>
      <c r="D10" s="61">
        <f>C10</f>
        <v>0.1</v>
      </c>
      <c r="E10" s="10" t="s">
        <v>45</v>
      </c>
      <c r="G10" s="53" t="s">
        <v>50</v>
      </c>
      <c r="H10" s="59">
        <v>0.14000000000000001</v>
      </c>
      <c r="I10" s="6">
        <f>H10</f>
        <v>0.14000000000000001</v>
      </c>
      <c r="J10" s="10" t="s">
        <v>46</v>
      </c>
    </row>
    <row r="11" spans="2:21" ht="16.8" thickBot="1">
      <c r="B11" s="53" t="s">
        <v>27</v>
      </c>
      <c r="C11" s="66">
        <v>5</v>
      </c>
      <c r="D11" s="67">
        <f>C11</f>
        <v>5</v>
      </c>
      <c r="E11" s="10"/>
      <c r="L11" s="9" t="s">
        <v>60</v>
      </c>
      <c r="M11" s="107">
        <f>LCM(M6:N6)</f>
        <v>6</v>
      </c>
      <c r="N11" s="1" t="s">
        <v>71</v>
      </c>
    </row>
    <row r="12" spans="2:21" ht="16.8" thickBot="1">
      <c r="F12" s="223"/>
      <c r="G12" s="304" t="s">
        <v>52</v>
      </c>
      <c r="H12" s="305"/>
      <c r="I12" s="306"/>
      <c r="J12" s="136"/>
    </row>
    <row r="13" spans="2:21" ht="16.8" thickBot="1">
      <c r="B13" s="310" t="s">
        <v>26</v>
      </c>
      <c r="C13" s="311"/>
      <c r="D13" s="312"/>
      <c r="L13" s="289" t="s">
        <v>61</v>
      </c>
      <c r="M13" s="290"/>
      <c r="N13" s="291"/>
      <c r="O13" s="117"/>
    </row>
    <row r="14" spans="2:21" ht="16.8" thickBot="1">
      <c r="G14" s="83" t="s">
        <v>28</v>
      </c>
      <c r="H14" s="76">
        <f>H7*((((1+H10)^H9)-1)/(H10*((1+H10)^H9)))</f>
        <v>87411.369134959401</v>
      </c>
      <c r="I14" s="77">
        <f>I7*((((1+I10)^I9)-1)/(I10*((1+I10)^I9)))</f>
        <v>98631.011298664715</v>
      </c>
      <c r="L14" s="112"/>
      <c r="M14" s="1"/>
      <c r="N14" s="1"/>
      <c r="O14" s="1"/>
    </row>
    <row r="15" spans="2:21" ht="16.8" thickBot="1">
      <c r="B15" s="71" t="s">
        <v>28</v>
      </c>
      <c r="C15" s="76">
        <f>C8*((((1+C10)^C11)-1)/(C10*((1+C10)^C11)))</f>
        <v>11372.360308225352</v>
      </c>
      <c r="D15" s="77">
        <f>D8*((((1+D10)^D11)-1)/(D10*((1+D10)^D11)))</f>
        <v>3790.7867694084507</v>
      </c>
      <c r="G15" s="83" t="s">
        <v>29</v>
      </c>
      <c r="H15" s="64">
        <f>H8/((1+H10)^H9)</f>
        <v>5920.8027737018947</v>
      </c>
      <c r="I15" s="65">
        <f>I8/((1+I10)^I9)</f>
        <v>7992.7464505973394</v>
      </c>
      <c r="L15" s="41" t="s">
        <v>62</v>
      </c>
      <c r="M15" s="21">
        <f>(1+M9)^M6-1</f>
        <v>0.39239999999999986</v>
      </c>
      <c r="N15" s="113">
        <f>(1+N9)^N6-1</f>
        <v>0.64303199999999983</v>
      </c>
      <c r="O15" s="118"/>
    </row>
    <row r="16" spans="2:21" ht="16.8" thickBot="1">
      <c r="B16" s="71" t="s">
        <v>29</v>
      </c>
      <c r="C16" s="64">
        <f>C9/((1+C10)^C11)</f>
        <v>12418.426461183099</v>
      </c>
      <c r="D16" s="65">
        <f>D9/((1+D10)^D11)</f>
        <v>43464.49261414085</v>
      </c>
      <c r="G16" s="83" t="s">
        <v>54</v>
      </c>
      <c r="H16" s="84">
        <f>(H6*-1)-H14+H15</f>
        <v>-161490.56636125752</v>
      </c>
      <c r="I16" s="85">
        <f>(I6*-1)-I14+I15</f>
        <v>-180638.2648480674</v>
      </c>
      <c r="L16" s="41" t="s">
        <v>269</v>
      </c>
      <c r="M16" s="89">
        <f>(M11/M6)-1</f>
        <v>2</v>
      </c>
      <c r="N16" s="90">
        <f>(M11/N6)-1</f>
        <v>1</v>
      </c>
      <c r="O16" s="1"/>
    </row>
    <row r="17" spans="1:22" ht="16.8" thickBot="1">
      <c r="B17" s="71" t="s">
        <v>30</v>
      </c>
      <c r="C17" s="73">
        <f>(C7*-1)-C15+C16</f>
        <v>-98953.933847042252</v>
      </c>
      <c r="D17" s="74">
        <f>(D7*-1)-D15+D16</f>
        <v>-100326.29415526759</v>
      </c>
      <c r="G17" s="298" t="s">
        <v>3</v>
      </c>
      <c r="H17" s="299"/>
      <c r="I17" s="300"/>
    </row>
    <row r="18" spans="1:22" ht="16.2" thickBot="1">
      <c r="B18" s="313" t="s">
        <v>3</v>
      </c>
      <c r="C18" s="314"/>
      <c r="D18" s="315"/>
      <c r="L18" s="37" t="s">
        <v>79</v>
      </c>
      <c r="M18" s="58">
        <f>M8*((((1+M9)^M11)-1)/(M9*((1+M9)^M11)))</f>
        <v>699.52051202405028</v>
      </c>
      <c r="N18" s="60">
        <f>N8*((((1+N9)^M11)-1)/(N9*((1+N9)^M11)))</f>
        <v>349.76025601202514</v>
      </c>
      <c r="O18" s="1"/>
    </row>
    <row r="19" spans="1:22" ht="16.8" thickBot="1">
      <c r="G19" s="301" t="s">
        <v>47</v>
      </c>
      <c r="H19" s="302"/>
      <c r="I19" s="303"/>
      <c r="L19" s="37" t="s">
        <v>63</v>
      </c>
      <c r="M19" s="58">
        <f>M7/((1+M9)^M11)</f>
        <v>37.043153917835483</v>
      </c>
      <c r="N19" s="60">
        <f>N7/((1+N9)^M11)</f>
        <v>370.4315391783548</v>
      </c>
      <c r="O19" s="1"/>
    </row>
    <row r="20" spans="1:22" s="75" customFormat="1" ht="43.8" customHeight="1" thickBot="1">
      <c r="A20" s="1"/>
      <c r="B20" s="283" t="s">
        <v>268</v>
      </c>
      <c r="C20" s="284"/>
      <c r="D20" s="285"/>
      <c r="E20" s="1"/>
      <c r="F20" s="95"/>
      <c r="J20" s="1"/>
      <c r="K20" s="95"/>
      <c r="L20" s="1"/>
      <c r="M20" s="1"/>
      <c r="N20" s="1"/>
      <c r="O20" s="1"/>
      <c r="P20" s="1"/>
      <c r="Q20" s="1"/>
      <c r="R20" s="95"/>
      <c r="S20" s="1"/>
      <c r="T20" s="1"/>
      <c r="U20" s="1"/>
      <c r="V20" s="1"/>
    </row>
    <row r="21" spans="1:22" ht="16.2" thickBot="1">
      <c r="G21" s="88" t="s">
        <v>48</v>
      </c>
      <c r="H21" s="97">
        <f>H16*((H10*((1+H10)^H9))/(((1+H10)^H9)-1))</f>
        <v>-55424.334829462408</v>
      </c>
      <c r="I21" s="11">
        <f>I16*((I10*((1+I10)^I9))/(((1+I10)^I9)-1))</f>
        <v>-42123.466410830537</v>
      </c>
      <c r="L21" s="37" t="s">
        <v>65</v>
      </c>
      <c r="M21" s="60">
        <f>(M5-M7)*((((1+M15)^M16)-1)/(M15*((1+M15)^M16)))</f>
        <v>6046.4691940761695</v>
      </c>
      <c r="N21" s="60">
        <f>(N5-N7)*((((1+N15)^N16)-1)/(N15*((1+N15)^N16)))</f>
        <v>3956.1006724153881</v>
      </c>
      <c r="O21" s="1"/>
    </row>
    <row r="22" spans="1:22" ht="16.2" thickBot="1">
      <c r="F22" s="224"/>
      <c r="G22" s="101"/>
      <c r="H22" s="101"/>
      <c r="I22" s="101"/>
      <c r="J22" s="222"/>
      <c r="L22" s="1"/>
      <c r="M22" s="1"/>
      <c r="N22" s="1"/>
      <c r="O22" s="1"/>
    </row>
    <row r="23" spans="1:22" ht="16.2" thickBot="1">
      <c r="F23" s="223"/>
      <c r="G23" s="102"/>
      <c r="H23" s="102"/>
      <c r="I23" s="102"/>
      <c r="J23" s="136"/>
      <c r="L23" s="242" t="s">
        <v>66</v>
      </c>
      <c r="M23" s="89">
        <f>(M5*-1)-M21-M18+M19</f>
        <v>-11708.946552182384</v>
      </c>
      <c r="N23" s="90">
        <f>(N5*-1)-N21-N18+N19</f>
        <v>-11435.429389249059</v>
      </c>
      <c r="O23" s="1"/>
    </row>
    <row r="24" spans="1:22" ht="16.8" thickBot="1">
      <c r="G24" s="307" t="s">
        <v>53</v>
      </c>
      <c r="H24" s="308"/>
      <c r="I24" s="309"/>
      <c r="L24" s="1"/>
      <c r="M24" s="1"/>
      <c r="N24" s="1"/>
      <c r="O24" s="1"/>
    </row>
    <row r="25" spans="1:22" ht="16.2" thickBot="1">
      <c r="B25" s="1" t="s">
        <v>35</v>
      </c>
      <c r="C25" s="1" t="s">
        <v>40</v>
      </c>
      <c r="D25" s="79" t="s">
        <v>36</v>
      </c>
      <c r="E25" s="1" t="s">
        <v>32</v>
      </c>
      <c r="L25" s="283" t="s">
        <v>67</v>
      </c>
      <c r="M25" s="284"/>
      <c r="N25" s="285"/>
      <c r="O25" s="119"/>
    </row>
    <row r="26" spans="1:22" ht="16.8" thickBot="1">
      <c r="B26" s="1">
        <f>D7</f>
        <v>140000</v>
      </c>
      <c r="C26" s="69">
        <f>D15</f>
        <v>3790.7867694084507</v>
      </c>
      <c r="D26" s="80">
        <f>1/((1+D10)^D11)</f>
        <v>0.62092132305915493</v>
      </c>
      <c r="E26" s="69">
        <f>C17</f>
        <v>-98953.933847042252</v>
      </c>
      <c r="G26" s="83" t="s">
        <v>56</v>
      </c>
      <c r="H26" s="58">
        <f>(H6*-1)+H15</f>
        <v>-74079.1972262981</v>
      </c>
      <c r="I26" s="60">
        <f>(I6*-1)+I15</f>
        <v>-82007.253549402667</v>
      </c>
      <c r="L26" s="1"/>
      <c r="M26" s="1"/>
      <c r="N26" s="1"/>
      <c r="O26" s="1"/>
    </row>
    <row r="27" spans="1:22" ht="16.8" thickBot="1">
      <c r="G27" s="93" t="s">
        <v>57</v>
      </c>
      <c r="H27" s="58">
        <f>H26*((H10*((1+H10)^H9))/(((1+H10)^H9)-1))</f>
        <v>-25424.334829462401</v>
      </c>
      <c r="I27" s="60">
        <f>I26*((I10*((1+I10)^I9))/(((1+I10)^I9)-1))</f>
        <v>-19123.466410830533</v>
      </c>
      <c r="L27" s="1" t="s">
        <v>68</v>
      </c>
      <c r="M27" s="1" t="s">
        <v>80</v>
      </c>
      <c r="N27" s="4" t="s">
        <v>74</v>
      </c>
      <c r="O27" s="4" t="s">
        <v>69</v>
      </c>
      <c r="P27" s="79" t="s">
        <v>70</v>
      </c>
      <c r="Q27" s="1" t="s">
        <v>32</v>
      </c>
    </row>
    <row r="28" spans="1:22" ht="16.8" thickBot="1">
      <c r="B28" s="81" t="s">
        <v>34</v>
      </c>
      <c r="C28" s="82">
        <f>(E26+B26+C26)/D26</f>
        <v>72210.200000000012</v>
      </c>
      <c r="D28" s="1"/>
      <c r="G28" s="93" t="s">
        <v>58</v>
      </c>
      <c r="H28" s="91">
        <f>H27-H7</f>
        <v>-55424.334829462401</v>
      </c>
      <c r="I28" s="92">
        <f>I27-I7</f>
        <v>-42123.46641083053</v>
      </c>
      <c r="L28" s="69">
        <f>N5</f>
        <v>7500</v>
      </c>
      <c r="M28" s="69">
        <f>N18</f>
        <v>349.76025601202514</v>
      </c>
      <c r="N28" s="1">
        <f>1/((1+N9)^N6)</f>
        <v>0.6086308726792905</v>
      </c>
      <c r="O28" s="1">
        <f>(N5/((1+N9)^N6))</f>
        <v>4564.7315450946789</v>
      </c>
      <c r="P28" s="80">
        <f>1/((1+N9)^M11)</f>
        <v>0.37043153917835481</v>
      </c>
      <c r="Q28" s="69">
        <f>M23</f>
        <v>-11708.946552182384</v>
      </c>
    </row>
    <row r="29" spans="1:22" ht="16.2" thickBot="1">
      <c r="B29" s="1"/>
      <c r="C29" s="1"/>
      <c r="D29" s="1"/>
      <c r="G29" s="103"/>
      <c r="H29" s="104"/>
      <c r="I29" s="104"/>
      <c r="L29" s="120" t="s">
        <v>34</v>
      </c>
      <c r="M29" s="121">
        <f>(Q28+L28+M28+O28)/(P28+N28)</f>
        <v>720.63357798165111</v>
      </c>
      <c r="N29" s="1"/>
    </row>
    <row r="30" spans="1:22" ht="16.2" thickBot="1">
      <c r="D30" s="68"/>
      <c r="F30" s="224"/>
      <c r="G30" s="101"/>
      <c r="H30" s="101"/>
      <c r="I30" s="101"/>
      <c r="J30" s="222"/>
      <c r="O30" s="1"/>
    </row>
    <row r="31" spans="1:22" ht="34.200000000000003" customHeight="1" thickBot="1">
      <c r="B31" s="283" t="s">
        <v>37</v>
      </c>
      <c r="C31" s="284"/>
      <c r="D31" s="285"/>
      <c r="E31" s="1"/>
      <c r="G31" s="1"/>
    </row>
    <row r="32" spans="1:22" ht="16.2" thickBot="1">
      <c r="L32" s="283" t="s">
        <v>75</v>
      </c>
      <c r="M32" s="284"/>
      <c r="N32" s="285"/>
      <c r="O32" s="119"/>
    </row>
    <row r="33" spans="2:17">
      <c r="L33" s="1"/>
      <c r="M33" s="1"/>
      <c r="N33" s="1"/>
      <c r="O33" s="1"/>
    </row>
    <row r="34" spans="2:17">
      <c r="L34" s="1" t="s">
        <v>76</v>
      </c>
      <c r="M34" s="1" t="s">
        <v>41</v>
      </c>
      <c r="N34" s="4" t="s">
        <v>78</v>
      </c>
      <c r="O34" s="4" t="s">
        <v>77</v>
      </c>
      <c r="P34" s="79" t="s">
        <v>70</v>
      </c>
      <c r="Q34" s="1" t="s">
        <v>39</v>
      </c>
    </row>
    <row r="35" spans="2:17" ht="16.2" thickBot="1">
      <c r="L35" s="69">
        <f>M5</f>
        <v>5000</v>
      </c>
      <c r="M35" s="69">
        <f>M18</f>
        <v>699.52051202405028</v>
      </c>
      <c r="N35" s="1">
        <f>1/((1+M9)^M6)</f>
        <v>0.71818442976156283</v>
      </c>
      <c r="O35" s="1">
        <f>(M5/((1+M9)^M6))</f>
        <v>3590.9221488078142</v>
      </c>
      <c r="P35" s="80">
        <f>1/((1+M9)^M11)</f>
        <v>0.37043153917835481</v>
      </c>
      <c r="Q35" s="69">
        <f>N23</f>
        <v>-11435.429389249059</v>
      </c>
    </row>
    <row r="36" spans="2:17" ht="16.2" thickBot="1">
      <c r="B36" s="1" t="s">
        <v>35</v>
      </c>
      <c r="C36" s="1" t="s">
        <v>41</v>
      </c>
      <c r="D36" s="79" t="s">
        <v>36</v>
      </c>
      <c r="E36" s="1" t="s">
        <v>39</v>
      </c>
      <c r="L36" s="120" t="s">
        <v>34</v>
      </c>
      <c r="M36" s="121">
        <f>(Q35+L35+M35+O35)/(P35+N35)</f>
        <v>-1970.3796284615955</v>
      </c>
      <c r="N36" s="1"/>
    </row>
    <row r="37" spans="2:17">
      <c r="B37" s="1">
        <f>C7</f>
        <v>100000</v>
      </c>
      <c r="C37" s="69">
        <f>C15</f>
        <v>11372.360308225352</v>
      </c>
      <c r="D37" s="80">
        <f>1/((1+D10)^D11)</f>
        <v>0.62092132305915493</v>
      </c>
      <c r="E37" s="69">
        <f>D17</f>
        <v>-100326.29415526759</v>
      </c>
      <c r="O37" s="1"/>
    </row>
    <row r="38" spans="2:17" ht="16.2" thickBot="1"/>
    <row r="39" spans="2:17" ht="16.2" thickBot="1">
      <c r="B39" s="81" t="s">
        <v>38</v>
      </c>
      <c r="C39" s="82">
        <f>(E37+B37+C37)/D37</f>
        <v>17789.80000000001</v>
      </c>
      <c r="D39" s="1"/>
    </row>
    <row r="40" spans="2:17">
      <c r="D40" s="68"/>
    </row>
  </sheetData>
  <mergeCells count="15">
    <mergeCell ref="B2:D2"/>
    <mergeCell ref="B31:D31"/>
    <mergeCell ref="G2:I2"/>
    <mergeCell ref="G17:I17"/>
    <mergeCell ref="G19:I19"/>
    <mergeCell ref="G12:I12"/>
    <mergeCell ref="G24:I24"/>
    <mergeCell ref="B13:D13"/>
    <mergeCell ref="B18:D18"/>
    <mergeCell ref="B20:D20"/>
    <mergeCell ref="L32:N32"/>
    <mergeCell ref="S2:U2"/>
    <mergeCell ref="L2:N2"/>
    <mergeCell ref="L13:N13"/>
    <mergeCell ref="L25:N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D73D-A074-48F0-A924-74B559195A21}">
  <dimension ref="A2:AV44"/>
  <sheetViews>
    <sheetView topLeftCell="A21" workbookViewId="0">
      <selection activeCell="D55" sqref="D55"/>
    </sheetView>
  </sheetViews>
  <sheetFormatPr baseColWidth="10" defaultRowHeight="15.6"/>
  <cols>
    <col min="1" max="1" width="11.5546875" style="1"/>
    <col min="2" max="2" width="13" style="1" bestFit="1" customWidth="1"/>
    <col min="3" max="3" width="27.88671875" style="1" bestFit="1" customWidth="1"/>
    <col min="4" max="4" width="12.88671875" style="1" customWidth="1"/>
    <col min="5" max="8" width="11.5546875" style="1"/>
    <col min="9" max="9" width="22.44140625" style="1" bestFit="1" customWidth="1"/>
    <col min="10" max="10" width="31.5546875" style="1" bestFit="1" customWidth="1"/>
    <col min="11" max="11" width="15.33203125" style="1" bestFit="1" customWidth="1"/>
    <col min="12" max="12" width="15.77734375" style="1" bestFit="1" customWidth="1"/>
    <col min="13" max="13" width="15.33203125" style="1" bestFit="1" customWidth="1"/>
    <col min="14" max="14" width="13.5546875" style="1" bestFit="1" customWidth="1"/>
    <col min="15" max="15" width="14.109375" style="1" bestFit="1" customWidth="1"/>
    <col min="16" max="19" width="11.44140625" style="1"/>
    <col min="20" max="32" width="11.5546875" style="1"/>
    <col min="33" max="48" width="11.5546875" style="4"/>
  </cols>
  <sheetData>
    <row r="2" spans="9:19" ht="16.2" thickBot="1"/>
    <row r="3" spans="9:19" ht="16.2" thickBot="1">
      <c r="I3" s="275" t="s">
        <v>95</v>
      </c>
      <c r="J3" s="328"/>
      <c r="K3" s="328"/>
      <c r="L3" s="328"/>
      <c r="M3" s="328"/>
      <c r="N3" s="328"/>
      <c r="O3" s="328"/>
      <c r="P3" s="328"/>
      <c r="Q3" s="328"/>
      <c r="R3" s="328"/>
      <c r="S3" s="276"/>
    </row>
    <row r="4" spans="9:19">
      <c r="I4" s="134"/>
      <c r="J4" s="135"/>
      <c r="K4" s="136"/>
      <c r="L4" s="135"/>
      <c r="M4" s="135"/>
      <c r="N4" s="135"/>
      <c r="O4" s="135"/>
      <c r="P4" s="135"/>
      <c r="Q4" s="135"/>
      <c r="R4" s="135"/>
      <c r="S4" s="137"/>
    </row>
    <row r="5" spans="9:19">
      <c r="I5" s="329"/>
      <c r="J5" s="330"/>
      <c r="K5" s="138"/>
      <c r="L5" s="51"/>
      <c r="M5" s="51"/>
      <c r="N5" s="51"/>
      <c r="O5" s="51"/>
      <c r="P5" s="51"/>
      <c r="Q5" s="51"/>
      <c r="R5" s="51"/>
      <c r="S5" s="139"/>
    </row>
    <row r="6" spans="9:19">
      <c r="I6" s="140" t="s">
        <v>106</v>
      </c>
      <c r="J6" s="141">
        <v>39.229999999999997</v>
      </c>
      <c r="L6" s="142"/>
      <c r="M6" s="142"/>
      <c r="N6" s="142"/>
      <c r="O6" s="142"/>
      <c r="P6" s="142"/>
      <c r="Q6" s="142"/>
      <c r="R6" s="142"/>
      <c r="S6" s="143"/>
    </row>
    <row r="7" spans="9:19">
      <c r="I7" s="144" t="s">
        <v>107</v>
      </c>
      <c r="J7" s="145">
        <v>2.2249999999999999E-2</v>
      </c>
      <c r="L7" s="51"/>
      <c r="M7" s="51"/>
      <c r="N7" s="51"/>
      <c r="O7" s="51"/>
      <c r="P7" s="51"/>
      <c r="Q7" s="51"/>
      <c r="R7" s="51"/>
      <c r="S7" s="139"/>
    </row>
    <row r="8" spans="9:19">
      <c r="I8" s="144" t="s">
        <v>96</v>
      </c>
      <c r="J8" s="146">
        <v>3</v>
      </c>
      <c r="L8" s="51"/>
      <c r="M8" s="51"/>
      <c r="N8" s="51"/>
      <c r="O8" s="51"/>
      <c r="P8" s="51"/>
      <c r="Q8" s="51"/>
      <c r="R8" s="51"/>
      <c r="S8" s="139"/>
    </row>
    <row r="9" spans="9:19">
      <c r="I9" s="144"/>
      <c r="J9" s="146"/>
      <c r="L9" s="51"/>
      <c r="M9" s="51"/>
      <c r="N9" s="51"/>
      <c r="O9" s="51"/>
      <c r="P9" s="51"/>
      <c r="Q9" s="51"/>
      <c r="R9" s="51"/>
      <c r="S9" s="139"/>
    </row>
    <row r="10" spans="9:19">
      <c r="I10" s="147"/>
      <c r="J10" s="4"/>
      <c r="L10" s="4"/>
      <c r="M10" s="4"/>
      <c r="N10" s="4"/>
      <c r="O10" s="4"/>
      <c r="P10" s="4"/>
      <c r="Q10" s="4"/>
      <c r="R10" s="4"/>
      <c r="S10" s="148"/>
    </row>
    <row r="11" spans="9:19">
      <c r="I11" s="149"/>
      <c r="J11" s="4"/>
      <c r="L11" s="4"/>
      <c r="M11" s="4"/>
      <c r="N11" s="4"/>
      <c r="O11" s="4"/>
      <c r="P11" s="4"/>
      <c r="Q11" s="4"/>
      <c r="R11" s="4"/>
      <c r="S11" s="148"/>
    </row>
    <row r="12" spans="9:19">
      <c r="I12" s="131" t="s">
        <v>97</v>
      </c>
      <c r="J12" s="10" t="s">
        <v>31</v>
      </c>
      <c r="K12" s="1" t="s">
        <v>98</v>
      </c>
      <c r="L12" s="1" t="s">
        <v>99</v>
      </c>
      <c r="M12" s="1" t="s">
        <v>100</v>
      </c>
      <c r="N12" s="1" t="s">
        <v>101</v>
      </c>
      <c r="O12" s="1" t="s">
        <v>102</v>
      </c>
      <c r="P12" s="1" t="s">
        <v>103</v>
      </c>
      <c r="Q12" s="1" t="s">
        <v>104</v>
      </c>
      <c r="R12" s="1" t="s">
        <v>105</v>
      </c>
      <c r="S12" s="100"/>
    </row>
    <row r="13" spans="9:19">
      <c r="I13" s="150">
        <f>J13*((((K13+L13)^M13)-N13)/((O13*(P13+Q13)^R13)))</f>
        <v>112.64072224589557</v>
      </c>
      <c r="J13" s="151">
        <f>J6</f>
        <v>39.229999999999997</v>
      </c>
      <c r="K13" s="152">
        <v>1</v>
      </c>
      <c r="L13" s="153">
        <f>J7</f>
        <v>2.2249999999999999E-2</v>
      </c>
      <c r="M13" s="154">
        <f>J8</f>
        <v>3</v>
      </c>
      <c r="N13" s="155">
        <v>1</v>
      </c>
      <c r="O13" s="156">
        <f>J7</f>
        <v>2.2249999999999999E-2</v>
      </c>
      <c r="P13" s="156">
        <v>1</v>
      </c>
      <c r="Q13" s="157">
        <f>J7</f>
        <v>2.2249999999999999E-2</v>
      </c>
      <c r="R13" s="156">
        <f>J8</f>
        <v>3</v>
      </c>
      <c r="S13" s="158"/>
    </row>
    <row r="14" spans="9:19" ht="16.2" thickBot="1">
      <c r="I14" s="159"/>
      <c r="J14" s="160"/>
      <c r="K14" s="161"/>
      <c r="L14" s="162"/>
      <c r="M14" s="160"/>
      <c r="N14" s="160"/>
      <c r="O14" s="160"/>
      <c r="P14" s="160"/>
      <c r="Q14" s="160"/>
      <c r="R14" s="160"/>
      <c r="S14" s="163"/>
    </row>
    <row r="17" spans="2:13">
      <c r="J17" s="331" t="s">
        <v>108</v>
      </c>
      <c r="K17" s="331"/>
      <c r="L17" s="331"/>
      <c r="M17" s="331"/>
    </row>
    <row r="18" spans="2:13" ht="16.2" thickBot="1">
      <c r="J18" s="123" t="s">
        <v>113</v>
      </c>
      <c r="K18" s="164">
        <f>I13</f>
        <v>112.64072224589557</v>
      </c>
    </row>
    <row r="19" spans="2:13" ht="16.8" thickBot="1">
      <c r="B19" s="325" t="s">
        <v>86</v>
      </c>
      <c r="C19" s="326"/>
      <c r="D19" s="326"/>
      <c r="E19" s="326"/>
      <c r="F19" s="326"/>
      <c r="G19" s="327"/>
      <c r="J19" s="123" t="s">
        <v>109</v>
      </c>
      <c r="K19" s="1">
        <v>3</v>
      </c>
      <c r="L19" s="1">
        <f>(1+$J$7)^K19</f>
        <v>1.0682462026406252</v>
      </c>
    </row>
    <row r="20" spans="2:13" ht="16.2" thickBot="1">
      <c r="J20" s="123" t="s">
        <v>110</v>
      </c>
      <c r="K20" s="1">
        <v>7</v>
      </c>
      <c r="L20" s="1">
        <f>(1+$J$7)^K20</f>
        <v>1.1665405358315144</v>
      </c>
    </row>
    <row r="21" spans="2:13" ht="16.2" thickBot="1">
      <c r="B21" s="316" t="s">
        <v>81</v>
      </c>
      <c r="C21" s="124" t="s">
        <v>92</v>
      </c>
      <c r="D21" s="2">
        <v>6.06</v>
      </c>
      <c r="F21" s="319" t="s">
        <v>84</v>
      </c>
      <c r="G21" s="320"/>
      <c r="J21" s="123" t="s">
        <v>111</v>
      </c>
      <c r="L21" s="1">
        <f t="shared" ref="L21" si="0">(1+$J$7)^K21</f>
        <v>1</v>
      </c>
    </row>
    <row r="22" spans="2:13" ht="16.2" thickBot="1">
      <c r="B22" s="317"/>
      <c r="C22" s="124" t="s">
        <v>82</v>
      </c>
      <c r="D22" s="55">
        <v>0.02</v>
      </c>
      <c r="F22" s="321"/>
      <c r="G22" s="322"/>
    </row>
    <row r="23" spans="2:13" ht="16.2" thickBot="1">
      <c r="B23" s="318"/>
      <c r="C23" s="124" t="s">
        <v>83</v>
      </c>
      <c r="D23" s="167">
        <v>9.9247584081007395E-2</v>
      </c>
      <c r="F23" s="323"/>
      <c r="G23" s="324"/>
      <c r="J23" s="10" t="s">
        <v>112</v>
      </c>
      <c r="K23" s="10">
        <v>9.74</v>
      </c>
      <c r="L23" s="10">
        <v>9.7364850000000001</v>
      </c>
    </row>
    <row r="24" spans="2:13" ht="16.2" thickBot="1">
      <c r="K24" s="165">
        <f>I13/L19</f>
        <v>105.44453326157966</v>
      </c>
      <c r="L24" s="166">
        <v>14.48554</v>
      </c>
    </row>
    <row r="25" spans="2:13" ht="16.2" thickBot="1">
      <c r="C25" s="40" t="s">
        <v>85</v>
      </c>
      <c r="D25" s="86">
        <f>(D21*(1+D22))/((D23-D22))</f>
        <v>77.998592281141811</v>
      </c>
      <c r="K25" s="1">
        <f>D25/L20</f>
        <v>66.863164961125094</v>
      </c>
      <c r="L25" s="10">
        <v>40.25</v>
      </c>
    </row>
    <row r="26" spans="2:13" ht="16.2" thickBot="1">
      <c r="C26" s="40" t="s">
        <v>85</v>
      </c>
      <c r="D26" s="86">
        <f>D21*((1+D22)/(D23-D22))</f>
        <v>77.998592281141811</v>
      </c>
    </row>
    <row r="27" spans="2:13" ht="16.2" thickBot="1">
      <c r="L27" s="1">
        <f>SUM(L23:L25)</f>
        <v>64.472025000000002</v>
      </c>
    </row>
    <row r="28" spans="2:13" ht="16.8" thickBot="1">
      <c r="B28" s="325" t="s">
        <v>90</v>
      </c>
      <c r="C28" s="326"/>
      <c r="D28" s="326"/>
      <c r="E28" s="326"/>
      <c r="F28" s="326"/>
      <c r="G28" s="327"/>
    </row>
    <row r="29" spans="2:13" ht="16.2" thickBot="1"/>
    <row r="30" spans="2:13" ht="16.2" thickBot="1">
      <c r="B30" s="316" t="s">
        <v>81</v>
      </c>
      <c r="C30" s="124" t="s">
        <v>92</v>
      </c>
      <c r="D30" s="2">
        <v>2</v>
      </c>
      <c r="F30" s="319" t="s">
        <v>89</v>
      </c>
      <c r="G30" s="320"/>
    </row>
    <row r="31" spans="2:13" ht="16.2" thickBot="1">
      <c r="B31" s="317"/>
      <c r="C31" s="124" t="s">
        <v>82</v>
      </c>
      <c r="D31" s="55">
        <v>0.06</v>
      </c>
      <c r="F31" s="321"/>
      <c r="G31" s="322"/>
    </row>
    <row r="32" spans="2:13" ht="16.2" thickBot="1">
      <c r="B32" s="317"/>
      <c r="C32" s="124" t="s">
        <v>83</v>
      </c>
      <c r="D32" s="55">
        <v>0.13</v>
      </c>
      <c r="F32" s="321"/>
      <c r="G32" s="322"/>
    </row>
    <row r="33" spans="2:7" ht="16.2" thickBot="1">
      <c r="B33" s="318"/>
      <c r="C33" s="132" t="s">
        <v>88</v>
      </c>
      <c r="D33" s="132">
        <v>1</v>
      </c>
      <c r="F33" s="323"/>
      <c r="G33" s="324"/>
    </row>
    <row r="34" spans="2:7" ht="16.2" thickBot="1"/>
    <row r="35" spans="2:7" ht="16.2" thickBot="1">
      <c r="C35" s="40" t="s">
        <v>87</v>
      </c>
      <c r="D35" s="86">
        <f>D30*((1+D31)^(D33+1))/(D32-D31)</f>
        <v>32.102857142857147</v>
      </c>
    </row>
    <row r="36" spans="2:7" ht="16.2" thickBot="1"/>
    <row r="37" spans="2:7" ht="16.8" thickBot="1">
      <c r="B37" s="325" t="s">
        <v>91</v>
      </c>
      <c r="C37" s="326"/>
      <c r="D37" s="326"/>
      <c r="E37" s="326"/>
      <c r="F37" s="326"/>
      <c r="G37" s="327"/>
    </row>
    <row r="38" spans="2:7" ht="16.2" thickBot="1"/>
    <row r="39" spans="2:7" ht="16.2" thickBot="1">
      <c r="B39" s="316" t="s">
        <v>81</v>
      </c>
      <c r="C39" s="124" t="s">
        <v>94</v>
      </c>
      <c r="D39" s="2">
        <v>8</v>
      </c>
    </row>
    <row r="40" spans="2:7" ht="16.2" thickBot="1">
      <c r="B40" s="317"/>
      <c r="C40" s="124" t="s">
        <v>82</v>
      </c>
      <c r="D40" s="133">
        <v>0.05</v>
      </c>
    </row>
    <row r="41" spans="2:7" ht="16.2" thickBot="1">
      <c r="B41" s="317"/>
      <c r="C41" s="124" t="s">
        <v>93</v>
      </c>
      <c r="D41" s="127">
        <v>100</v>
      </c>
    </row>
    <row r="42" spans="2:7" ht="16.2" thickBot="1">
      <c r="B42" s="318"/>
      <c r="C42" s="132"/>
      <c r="D42" s="132"/>
    </row>
    <row r="43" spans="2:7" ht="16.2" thickBot="1"/>
    <row r="44" spans="2:7" ht="16.2" thickBot="1">
      <c r="C44" s="40" t="s">
        <v>91</v>
      </c>
      <c r="D44" s="113">
        <f>((D39*(1+D40))/D41)+D40</f>
        <v>0.13400000000000001</v>
      </c>
    </row>
  </sheetData>
  <mergeCells count="11">
    <mergeCell ref="B30:B33"/>
    <mergeCell ref="F30:G33"/>
    <mergeCell ref="B37:G37"/>
    <mergeCell ref="B39:B42"/>
    <mergeCell ref="I3:S3"/>
    <mergeCell ref="I5:J5"/>
    <mergeCell ref="J17:M17"/>
    <mergeCell ref="B19:G19"/>
    <mergeCell ref="B21:B23"/>
    <mergeCell ref="F21:G23"/>
    <mergeCell ref="B28:G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2C6-596C-4FD7-BED5-42AD91D9B54D}">
  <dimension ref="B1:BS75"/>
  <sheetViews>
    <sheetView topLeftCell="A6" workbookViewId="0">
      <selection activeCell="H29" sqref="H29"/>
    </sheetView>
  </sheetViews>
  <sheetFormatPr baseColWidth="10" defaultRowHeight="15.6"/>
  <cols>
    <col min="2" max="2" width="11.5546875" style="10"/>
    <col min="3" max="3" width="17.44140625" style="10" bestFit="1" customWidth="1"/>
    <col min="4" max="4" width="44.6640625" style="1" bestFit="1" customWidth="1"/>
    <col min="5" max="5" width="14.88671875" style="1" customWidth="1"/>
    <col min="6" max="6" width="14.109375" style="1" customWidth="1"/>
    <col min="7" max="7" width="13.21875" style="1" bestFit="1" customWidth="1"/>
    <col min="8" max="8" width="23.21875" style="4" bestFit="1" customWidth="1"/>
    <col min="9" max="9" width="17.88671875" style="4" bestFit="1" customWidth="1"/>
    <col min="10" max="10" width="9" style="4" bestFit="1" customWidth="1"/>
    <col min="11" max="11" width="11.33203125" style="4" customWidth="1"/>
    <col min="12" max="12" width="14.88671875" style="4" customWidth="1"/>
    <col min="13" max="13" width="19.44140625" style="4" customWidth="1"/>
    <col min="14" max="14" width="13.21875" style="4" bestFit="1" customWidth="1"/>
    <col min="15" max="15" width="19.44140625" style="4" customWidth="1"/>
    <col min="16" max="71" width="11.5546875" style="4"/>
  </cols>
  <sheetData>
    <row r="1" spans="3:9" ht="16.2" thickBot="1">
      <c r="C1" s="184"/>
      <c r="D1" s="4"/>
      <c r="E1" s="4"/>
      <c r="F1" s="4"/>
      <c r="G1" s="4"/>
    </row>
    <row r="2" spans="3:9" ht="16.8" thickBot="1">
      <c r="C2" s="338" t="s">
        <v>115</v>
      </c>
      <c r="D2" s="339"/>
      <c r="E2" s="339"/>
      <c r="F2" s="339"/>
      <c r="G2" s="339"/>
      <c r="H2" s="339"/>
      <c r="I2" s="340"/>
    </row>
    <row r="3" spans="3:9" ht="16.2" thickBot="1">
      <c r="H3" s="51"/>
      <c r="I3" s="51"/>
    </row>
    <row r="4" spans="3:9" ht="16.2" thickBot="1">
      <c r="C4" s="10" t="s">
        <v>81</v>
      </c>
      <c r="H4" s="81" t="s">
        <v>129</v>
      </c>
      <c r="I4" s="171" t="s">
        <v>130</v>
      </c>
    </row>
    <row r="5" spans="3:9" ht="16.2" customHeight="1" thickBot="1">
      <c r="D5" s="123" t="s">
        <v>118</v>
      </c>
      <c r="E5" s="1">
        <v>1000</v>
      </c>
      <c r="H5" s="341" t="s">
        <v>131</v>
      </c>
      <c r="I5" s="342"/>
    </row>
    <row r="6" spans="3:9" ht="16.2" thickBot="1">
      <c r="D6" s="123" t="s">
        <v>119</v>
      </c>
      <c r="E6" s="1">
        <v>1050</v>
      </c>
      <c r="H6" s="70" t="s">
        <v>124</v>
      </c>
      <c r="I6" s="52"/>
    </row>
    <row r="7" spans="3:9" ht="16.2" thickBot="1">
      <c r="D7" s="123" t="s">
        <v>120</v>
      </c>
      <c r="E7" s="78">
        <v>0.08</v>
      </c>
      <c r="F7" s="1" t="s">
        <v>150</v>
      </c>
      <c r="H7" s="70" t="s">
        <v>132</v>
      </c>
      <c r="I7" s="52"/>
    </row>
    <row r="8" spans="3:9" ht="16.2" customHeight="1" thickBot="1">
      <c r="D8" s="178" t="s">
        <v>117</v>
      </c>
      <c r="E8" s="179" t="s">
        <v>139</v>
      </c>
      <c r="H8" s="249" t="s">
        <v>127</v>
      </c>
      <c r="I8" s="250"/>
    </row>
    <row r="9" spans="3:9" ht="16.2" thickBot="1">
      <c r="D9" s="123" t="s">
        <v>121</v>
      </c>
      <c r="E9" s="1">
        <v>2</v>
      </c>
      <c r="F9" s="1" t="s">
        <v>135</v>
      </c>
      <c r="H9" s="249" t="s">
        <v>133</v>
      </c>
      <c r="I9" s="250"/>
    </row>
    <row r="10" spans="3:9">
      <c r="D10" s="123" t="s">
        <v>122</v>
      </c>
      <c r="E10" s="125">
        <v>4.4999999999999998E-2</v>
      </c>
      <c r="F10" s="1" t="s">
        <v>150</v>
      </c>
    </row>
    <row r="11" spans="3:9">
      <c r="D11" s="123" t="s">
        <v>123</v>
      </c>
      <c r="E11" s="125">
        <v>0.01</v>
      </c>
      <c r="H11" s="346" t="s">
        <v>138</v>
      </c>
      <c r="I11" s="346"/>
    </row>
    <row r="12" spans="3:9" ht="16.2" thickBot="1">
      <c r="D12" s="123" t="s">
        <v>126</v>
      </c>
      <c r="E12" s="172">
        <v>0.01</v>
      </c>
    </row>
    <row r="13" spans="3:9" ht="16.2" thickBot="1">
      <c r="D13" s="123" t="s">
        <v>125</v>
      </c>
      <c r="E13" s="172">
        <v>2.5000000000000001E-3</v>
      </c>
      <c r="H13" s="177" t="s">
        <v>134</v>
      </c>
      <c r="I13" s="174">
        <v>180</v>
      </c>
    </row>
    <row r="14" spans="3:9" ht="16.2" thickBot="1">
      <c r="D14" s="123" t="s">
        <v>128</v>
      </c>
      <c r="E14" s="172">
        <v>4.4999999999999997E-3</v>
      </c>
    </row>
    <row r="15" spans="3:9" ht="16.2" thickBot="1">
      <c r="D15" s="123" t="s">
        <v>156</v>
      </c>
      <c r="E15" s="172">
        <v>5.0000000000000001E-3</v>
      </c>
      <c r="H15" s="37" t="s">
        <v>151</v>
      </c>
      <c r="I15" s="176">
        <f>((1+E7)^(I13/360))-1</f>
        <v>3.9230484541326494E-2</v>
      </c>
    </row>
    <row r="16" spans="3:9" ht="16.2" thickBot="1">
      <c r="H16" s="11" t="s">
        <v>167</v>
      </c>
      <c r="I16" s="11">
        <f>E9*2</f>
        <v>4</v>
      </c>
    </row>
    <row r="17" spans="2:15" ht="16.2" thickBot="1"/>
    <row r="18" spans="2:15" ht="16.2" thickBot="1">
      <c r="C18" s="343" t="s">
        <v>136</v>
      </c>
      <c r="D18" s="344"/>
      <c r="E18" s="344"/>
      <c r="F18" s="344"/>
      <c r="G18" s="344"/>
      <c r="H18" s="344"/>
      <c r="I18" s="345"/>
    </row>
    <row r="19" spans="2:15" ht="16.2" thickBot="1">
      <c r="C19" s="184"/>
      <c r="D19" s="4"/>
      <c r="E19" s="4"/>
      <c r="F19" s="4"/>
      <c r="G19" s="4"/>
    </row>
    <row r="20" spans="2:15" ht="16.2" thickBot="1">
      <c r="C20" s="11" t="s">
        <v>137</v>
      </c>
      <c r="D20" s="90">
        <v>0</v>
      </c>
      <c r="E20" s="333" t="s">
        <v>154</v>
      </c>
      <c r="F20" s="333"/>
      <c r="G20" s="4"/>
      <c r="I20" s="334" t="s">
        <v>148</v>
      </c>
      <c r="J20" s="335"/>
      <c r="K20" s="335"/>
      <c r="L20" s="335"/>
      <c r="M20" s="335"/>
      <c r="N20" s="335"/>
      <c r="O20" s="336"/>
    </row>
    <row r="21" spans="2:15">
      <c r="C21" s="186" t="s">
        <v>155</v>
      </c>
      <c r="D21" s="188" t="s">
        <v>157</v>
      </c>
      <c r="E21" s="175" t="s">
        <v>158</v>
      </c>
      <c r="F21" s="189" t="s">
        <v>133</v>
      </c>
      <c r="G21" s="4"/>
      <c r="I21" s="182"/>
      <c r="J21" s="182"/>
      <c r="K21" s="182"/>
      <c r="L21" s="1"/>
      <c r="M21" s="1"/>
      <c r="N21" s="1"/>
    </row>
    <row r="22" spans="2:15" ht="16.2" thickBot="1">
      <c r="C22" s="186" t="s">
        <v>155</v>
      </c>
      <c r="D22" s="188">
        <f>E6</f>
        <v>1050</v>
      </c>
      <c r="E22" s="175">
        <f>E6*E14</f>
        <v>4.7249999999999996</v>
      </c>
      <c r="F22" s="189">
        <f>E6*E15</f>
        <v>5.25</v>
      </c>
      <c r="G22" s="4"/>
      <c r="I22" s="337" t="s">
        <v>149</v>
      </c>
      <c r="J22" s="337"/>
      <c r="K22" s="337"/>
      <c r="L22" s="185">
        <f>(1+E10)^(I13/360)-1</f>
        <v>2.2252415013043647E-2</v>
      </c>
      <c r="M22" s="1"/>
      <c r="N22" s="1"/>
    </row>
    <row r="23" spans="2:15" ht="16.2" thickBot="1">
      <c r="C23" s="187" t="s">
        <v>155</v>
      </c>
      <c r="D23" s="9">
        <f>SUM(D22:F22)</f>
        <v>1059.9749999999999</v>
      </c>
      <c r="E23" s="51"/>
      <c r="F23" s="51"/>
      <c r="G23" s="4"/>
      <c r="I23" s="1"/>
      <c r="J23" s="1"/>
      <c r="K23" s="1"/>
      <c r="L23" s="183"/>
      <c r="M23" s="1"/>
      <c r="N23" s="1"/>
    </row>
    <row r="24" spans="2:15" ht="16.8" thickBot="1">
      <c r="C24" s="206"/>
      <c r="D24" s="12"/>
      <c r="E24" s="4"/>
      <c r="F24" s="4"/>
      <c r="G24" s="4"/>
      <c r="I24" s="1"/>
      <c r="L24" s="54"/>
      <c r="M24" s="54"/>
      <c r="N24" s="54"/>
      <c r="O24" s="54"/>
    </row>
    <row r="25" spans="2:15" ht="16.2" thickBot="1">
      <c r="I25" s="1"/>
      <c r="L25" s="1"/>
      <c r="M25" s="1"/>
      <c r="N25" s="1"/>
      <c r="O25" s="1"/>
    </row>
    <row r="26" spans="2:15" ht="16.8" thickBot="1">
      <c r="B26" s="10" t="s">
        <v>222</v>
      </c>
      <c r="C26" s="204" t="s">
        <v>223</v>
      </c>
      <c r="D26" s="205" t="s">
        <v>224</v>
      </c>
      <c r="I26" s="11" t="s">
        <v>152</v>
      </c>
      <c r="J26" s="10" t="s">
        <v>185</v>
      </c>
      <c r="K26" s="10">
        <v>1</v>
      </c>
      <c r="L26" s="1">
        <f>D33/(1+$L$22)^K26</f>
        <v>38.376514415792229</v>
      </c>
      <c r="M26" s="218" t="s">
        <v>212</v>
      </c>
      <c r="N26" s="1"/>
      <c r="O26" s="1"/>
    </row>
    <row r="27" spans="2:15" ht="16.8" thickBot="1">
      <c r="B27" s="10">
        <v>1</v>
      </c>
      <c r="C27" s="87" t="s">
        <v>160</v>
      </c>
      <c r="D27" s="190" t="s">
        <v>161</v>
      </c>
      <c r="I27" s="1"/>
      <c r="J27" s="10" t="s">
        <v>186</v>
      </c>
      <c r="K27" s="10">
        <v>2</v>
      </c>
      <c r="L27" s="1">
        <f>D45/(1+$L$22)^K27</f>
        <v>37.541133532369848</v>
      </c>
      <c r="M27" s="218" t="s">
        <v>213</v>
      </c>
      <c r="N27" s="1"/>
    </row>
    <row r="28" spans="2:15" ht="16.2" thickBot="1">
      <c r="C28" s="87" t="s">
        <v>160</v>
      </c>
      <c r="D28" s="2">
        <f>$I$15*$E$5</f>
        <v>39.23048454132649</v>
      </c>
      <c r="I28" s="1"/>
      <c r="J28" s="10" t="s">
        <v>187</v>
      </c>
      <c r="K28" s="10">
        <v>3</v>
      </c>
      <c r="L28" s="1">
        <f>D57/(1+$L$22)^K28</f>
        <v>36.723937239992566</v>
      </c>
      <c r="M28" s="218" t="s">
        <v>214</v>
      </c>
      <c r="N28" s="1"/>
    </row>
    <row r="29" spans="2:15" ht="16.2" thickBot="1">
      <c r="C29" s="87" t="s">
        <v>163</v>
      </c>
      <c r="D29" s="2">
        <v>0</v>
      </c>
      <c r="E29" s="332" t="s">
        <v>225</v>
      </c>
      <c r="F29" s="333"/>
      <c r="G29" s="333"/>
      <c r="J29" s="10" t="s">
        <v>188</v>
      </c>
      <c r="K29" s="10">
        <v>4</v>
      </c>
      <c r="L29" s="1">
        <f>D72/(1+$L$22)^K29</f>
        <v>960.81178044580167</v>
      </c>
      <c r="M29" s="218" t="s">
        <v>215</v>
      </c>
    </row>
    <row r="30" spans="2:15" ht="16.8" thickBot="1">
      <c r="C30" s="87" t="s">
        <v>226</v>
      </c>
      <c r="D30" s="190" t="s">
        <v>227</v>
      </c>
      <c r="J30" s="10" t="s">
        <v>189</v>
      </c>
      <c r="K30" s="10">
        <v>5</v>
      </c>
      <c r="L30" s="1"/>
    </row>
    <row r="31" spans="2:15" ht="16.2" thickBot="1">
      <c r="C31" s="87" t="s">
        <v>226</v>
      </c>
      <c r="D31" s="2">
        <f>D28+D29</f>
        <v>39.23048454132649</v>
      </c>
      <c r="J31" s="10" t="s">
        <v>190</v>
      </c>
      <c r="K31" s="10">
        <v>6</v>
      </c>
      <c r="L31" s="1"/>
    </row>
    <row r="32" spans="2:15" ht="16.8" thickBot="1">
      <c r="C32" s="87" t="s">
        <v>201</v>
      </c>
      <c r="D32" s="190" t="s">
        <v>226</v>
      </c>
      <c r="L32" s="184">
        <f>SUM(L26:L31)</f>
        <v>1073.4533656339563</v>
      </c>
    </row>
    <row r="33" spans="2:15" ht="16.8" thickBot="1">
      <c r="C33" s="9" t="s">
        <v>201</v>
      </c>
      <c r="D33" s="207">
        <f>D31</f>
        <v>39.23048454132649</v>
      </c>
    </row>
    <row r="34" spans="2:15" ht="16.8" thickBot="1">
      <c r="C34" s="87" t="s">
        <v>116</v>
      </c>
      <c r="D34" s="190" t="s">
        <v>228</v>
      </c>
      <c r="I34" s="334" t="s">
        <v>153</v>
      </c>
      <c r="J34" s="335"/>
      <c r="K34" s="335"/>
      <c r="L34" s="335"/>
      <c r="M34" s="335"/>
      <c r="N34" s="335"/>
      <c r="O34" s="336"/>
    </row>
    <row r="35" spans="2:15" ht="16.8" thickBot="1">
      <c r="C35" s="87" t="s">
        <v>116</v>
      </c>
      <c r="D35" s="53">
        <f>E5-D29</f>
        <v>1000</v>
      </c>
    </row>
    <row r="36" spans="2:15" ht="16.8" thickBot="1">
      <c r="C36" s="208"/>
      <c r="D36" s="209"/>
      <c r="I36" s="87" t="s">
        <v>243</v>
      </c>
      <c r="J36" s="197">
        <f>L32-D23</f>
        <v>13.4783656339564</v>
      </c>
      <c r="K36" s="1"/>
      <c r="L36" s="1"/>
      <c r="M36" s="1"/>
      <c r="N36" s="1"/>
    </row>
    <row r="37" spans="2:15" ht="16.2" thickBot="1"/>
    <row r="38" spans="2:15" ht="16.8" thickBot="1">
      <c r="B38" s="10" t="s">
        <v>229</v>
      </c>
      <c r="C38" s="204" t="s">
        <v>232</v>
      </c>
      <c r="D38" s="205" t="s">
        <v>230</v>
      </c>
    </row>
    <row r="39" spans="2:15" ht="16.8" thickBot="1">
      <c r="B39" s="10">
        <v>2</v>
      </c>
      <c r="C39" s="87" t="s">
        <v>173</v>
      </c>
      <c r="D39" s="190" t="s">
        <v>161</v>
      </c>
    </row>
    <row r="40" spans="2:15" ht="16.2" thickBot="1">
      <c r="C40" s="87" t="s">
        <v>173</v>
      </c>
      <c r="D40" s="2">
        <f>$I$15*$E$5</f>
        <v>39.23048454132649</v>
      </c>
    </row>
    <row r="41" spans="2:15" ht="16.2" thickBot="1">
      <c r="C41" s="87" t="s">
        <v>174</v>
      </c>
      <c r="D41" s="2">
        <v>0</v>
      </c>
      <c r="E41" s="332" t="s">
        <v>225</v>
      </c>
      <c r="F41" s="333"/>
      <c r="G41" s="333"/>
    </row>
    <row r="42" spans="2:15" ht="16.8" thickBot="1">
      <c r="C42" s="87" t="s">
        <v>143</v>
      </c>
      <c r="D42" s="190" t="s">
        <v>227</v>
      </c>
    </row>
    <row r="43" spans="2:15" ht="16.2" thickBot="1">
      <c r="C43" s="87" t="s">
        <v>143</v>
      </c>
      <c r="D43" s="2">
        <f>D40+D41</f>
        <v>39.23048454132649</v>
      </c>
    </row>
    <row r="44" spans="2:15" ht="16.8" thickBot="1">
      <c r="C44" s="87" t="s">
        <v>204</v>
      </c>
      <c r="D44" s="190" t="s">
        <v>226</v>
      </c>
    </row>
    <row r="45" spans="2:15" ht="16.8" thickBot="1">
      <c r="C45" s="9" t="s">
        <v>204</v>
      </c>
      <c r="D45" s="207">
        <f>D43</f>
        <v>39.23048454132649</v>
      </c>
    </row>
    <row r="46" spans="2:15" ht="16.8" thickBot="1">
      <c r="C46" s="87" t="s">
        <v>116</v>
      </c>
      <c r="D46" s="190" t="s">
        <v>233</v>
      </c>
    </row>
    <row r="47" spans="2:15" ht="16.8" thickBot="1">
      <c r="C47" s="87" t="s">
        <v>116</v>
      </c>
      <c r="D47" s="53">
        <f>D35-D41</f>
        <v>1000</v>
      </c>
    </row>
    <row r="48" spans="2:15" ht="16.8" thickBot="1">
      <c r="C48" s="208"/>
      <c r="D48" s="209"/>
    </row>
    <row r="49" spans="2:7" ht="16.2" thickBot="1"/>
    <row r="50" spans="2:7" ht="16.8" thickBot="1">
      <c r="B50" s="10" t="s">
        <v>231</v>
      </c>
      <c r="C50" s="204" t="s">
        <v>235</v>
      </c>
      <c r="D50" s="205" t="s">
        <v>234</v>
      </c>
    </row>
    <row r="51" spans="2:7" ht="16.8" thickBot="1">
      <c r="B51" s="10">
        <v>3</v>
      </c>
      <c r="C51" s="87" t="s">
        <v>179</v>
      </c>
      <c r="D51" s="190" t="s">
        <v>161</v>
      </c>
    </row>
    <row r="52" spans="2:7" ht="16.2" thickBot="1">
      <c r="C52" s="87" t="s">
        <v>179</v>
      </c>
      <c r="D52" s="2">
        <f>$I$15*$E$5</f>
        <v>39.23048454132649</v>
      </c>
    </row>
    <row r="53" spans="2:7" ht="16.2" thickBot="1">
      <c r="C53" s="87" t="s">
        <v>180</v>
      </c>
      <c r="D53" s="2">
        <v>0</v>
      </c>
      <c r="E53" s="332" t="s">
        <v>225</v>
      </c>
      <c r="F53" s="333"/>
      <c r="G53" s="333"/>
    </row>
    <row r="54" spans="2:7" ht="16.8" thickBot="1">
      <c r="C54" s="87" t="s">
        <v>145</v>
      </c>
      <c r="D54" s="190" t="s">
        <v>227</v>
      </c>
    </row>
    <row r="55" spans="2:7" ht="16.2" thickBot="1">
      <c r="C55" s="87" t="s">
        <v>145</v>
      </c>
      <c r="D55" s="2">
        <f>D52+D53</f>
        <v>39.23048454132649</v>
      </c>
    </row>
    <row r="56" spans="2:7" ht="16.8" thickBot="1">
      <c r="C56" s="87" t="s">
        <v>236</v>
      </c>
      <c r="D56" s="190" t="s">
        <v>226</v>
      </c>
    </row>
    <row r="57" spans="2:7" ht="16.8" thickBot="1">
      <c r="C57" s="9" t="s">
        <v>236</v>
      </c>
      <c r="D57" s="207">
        <f>D55</f>
        <v>39.23048454132649</v>
      </c>
    </row>
    <row r="58" spans="2:7" ht="16.8" thickBot="1">
      <c r="C58" s="87" t="s">
        <v>116</v>
      </c>
      <c r="D58" s="190" t="s">
        <v>233</v>
      </c>
    </row>
    <row r="59" spans="2:7" ht="16.8" thickBot="1">
      <c r="C59" s="87" t="s">
        <v>116</v>
      </c>
      <c r="D59" s="53">
        <f>D47-D53</f>
        <v>1000</v>
      </c>
    </row>
    <row r="60" spans="2:7" ht="16.8" thickBot="1">
      <c r="C60" s="208"/>
      <c r="D60" s="209"/>
    </row>
    <row r="61" spans="2:7" ht="16.2" thickBot="1"/>
    <row r="62" spans="2:7" ht="16.8" thickBot="1">
      <c r="B62" s="10" t="s">
        <v>237</v>
      </c>
      <c r="C62" s="204" t="s">
        <v>235</v>
      </c>
      <c r="D62" s="205" t="s">
        <v>238</v>
      </c>
    </row>
    <row r="63" spans="2:7" ht="16.8" thickBot="1">
      <c r="B63" s="10">
        <v>4</v>
      </c>
      <c r="C63" s="87" t="s">
        <v>179</v>
      </c>
      <c r="D63" s="190" t="s">
        <v>161</v>
      </c>
    </row>
    <row r="64" spans="2:7" ht="16.2" thickBot="1">
      <c r="C64" s="87" t="s">
        <v>179</v>
      </c>
      <c r="D64" s="2">
        <f>$I$15*$E$5</f>
        <v>39.23048454132649</v>
      </c>
    </row>
    <row r="65" spans="3:7" ht="16.8" thickBot="1">
      <c r="C65" s="87" t="s">
        <v>180</v>
      </c>
      <c r="D65" s="190" t="s">
        <v>239</v>
      </c>
      <c r="E65" s="332" t="s">
        <v>225</v>
      </c>
      <c r="F65" s="333"/>
      <c r="G65" s="333"/>
    </row>
    <row r="66" spans="3:7" ht="16.2" thickBot="1">
      <c r="C66" s="87" t="s">
        <v>180</v>
      </c>
      <c r="D66" s="2">
        <f>E5</f>
        <v>1000</v>
      </c>
      <c r="E66" s="332" t="s">
        <v>225</v>
      </c>
      <c r="F66" s="333"/>
      <c r="G66" s="333"/>
    </row>
    <row r="67" spans="3:7" ht="16.8" thickBot="1">
      <c r="C67" s="216" t="s">
        <v>241</v>
      </c>
      <c r="D67" s="217" t="s">
        <v>242</v>
      </c>
      <c r="E67" s="99"/>
    </row>
    <row r="68" spans="3:7" ht="16.8" thickBot="1">
      <c r="C68" s="216" t="s">
        <v>241</v>
      </c>
      <c r="D68" s="217">
        <f>E11*E5</f>
        <v>10</v>
      </c>
      <c r="E68" s="99"/>
    </row>
    <row r="69" spans="3:7" ht="16.8" thickBot="1">
      <c r="C69" s="87" t="s">
        <v>145</v>
      </c>
      <c r="D69" s="190" t="s">
        <v>227</v>
      </c>
    </row>
    <row r="70" spans="3:7" ht="16.2" thickBot="1">
      <c r="C70" s="87" t="s">
        <v>145</v>
      </c>
      <c r="D70" s="2">
        <f>D64+D66</f>
        <v>1039.2304845413264</v>
      </c>
    </row>
    <row r="71" spans="3:7" ht="16.8" thickBot="1">
      <c r="C71" s="87" t="s">
        <v>236</v>
      </c>
      <c r="D71" s="190" t="s">
        <v>240</v>
      </c>
    </row>
    <row r="72" spans="3:7" ht="16.8" thickBot="1">
      <c r="C72" s="9" t="s">
        <v>236</v>
      </c>
      <c r="D72" s="207">
        <f>D70+D68</f>
        <v>1049.2304845413264</v>
      </c>
    </row>
    <row r="73" spans="3:7" ht="16.8" thickBot="1">
      <c r="C73" s="87" t="s">
        <v>116</v>
      </c>
      <c r="D73" s="190" t="s">
        <v>233</v>
      </c>
    </row>
    <row r="74" spans="3:7" ht="16.8" thickBot="1">
      <c r="C74" s="87" t="s">
        <v>116</v>
      </c>
      <c r="D74" s="53">
        <f>D59-D66</f>
        <v>0</v>
      </c>
    </row>
    <row r="75" spans="3:7" ht="16.8" thickBot="1">
      <c r="C75" s="208"/>
      <c r="D75" s="209"/>
    </row>
  </sheetData>
  <mergeCells count="15">
    <mergeCell ref="C2:I2"/>
    <mergeCell ref="H8:I8"/>
    <mergeCell ref="H9:I9"/>
    <mergeCell ref="H5:I5"/>
    <mergeCell ref="C18:I18"/>
    <mergeCell ref="H11:I11"/>
    <mergeCell ref="E65:G65"/>
    <mergeCell ref="E66:G66"/>
    <mergeCell ref="E20:F20"/>
    <mergeCell ref="I20:O20"/>
    <mergeCell ref="I22:K22"/>
    <mergeCell ref="I34:O34"/>
    <mergeCell ref="E29:G29"/>
    <mergeCell ref="E41:G41"/>
    <mergeCell ref="E53:G53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4FCA-B094-4561-92AF-668D58B11B6B}">
  <dimension ref="B1:P80"/>
  <sheetViews>
    <sheetView topLeftCell="A52" workbookViewId="0">
      <selection activeCell="G34" sqref="G34"/>
    </sheetView>
  </sheetViews>
  <sheetFormatPr baseColWidth="10" defaultRowHeight="15.6"/>
  <cols>
    <col min="2" max="2" width="16.88671875" style="4" bestFit="1" customWidth="1"/>
    <col min="3" max="3" width="17.77734375" style="4" bestFit="1" customWidth="1"/>
    <col min="4" max="4" width="37.109375" style="4" customWidth="1"/>
    <col min="5" max="5" width="14.88671875" style="4" customWidth="1"/>
    <col min="6" max="6" width="14.109375" style="4" customWidth="1"/>
    <col min="7" max="7" width="13.21875" style="4" bestFit="1" customWidth="1"/>
    <col min="8" max="8" width="23.21875" style="4" bestFit="1" customWidth="1"/>
    <col min="9" max="9" width="17.88671875" style="4" bestFit="1" customWidth="1"/>
    <col min="10" max="10" width="9" style="4" bestFit="1" customWidth="1"/>
    <col min="11" max="11" width="11.33203125" style="4" customWidth="1"/>
    <col min="12" max="12" width="14.88671875" style="4" customWidth="1"/>
    <col min="13" max="13" width="20.33203125" style="4" customWidth="1"/>
    <col min="14" max="14" width="13.21875" style="4" bestFit="1" customWidth="1"/>
    <col min="15" max="15" width="19.44140625" style="4" customWidth="1"/>
    <col min="16" max="16" width="16.88671875" style="4" customWidth="1"/>
  </cols>
  <sheetData>
    <row r="1" spans="3:9" ht="16.2" thickBot="1"/>
    <row r="2" spans="3:9" ht="16.8" thickBot="1">
      <c r="C2" s="348" t="s">
        <v>115</v>
      </c>
      <c r="D2" s="349"/>
      <c r="E2" s="349"/>
      <c r="F2" s="349"/>
      <c r="G2" s="349"/>
      <c r="H2" s="349"/>
      <c r="I2" s="350"/>
    </row>
    <row r="3" spans="3:9" ht="16.2" thickBot="1">
      <c r="C3" s="1"/>
      <c r="D3" s="1"/>
      <c r="E3" s="1"/>
      <c r="F3" s="1"/>
      <c r="G3" s="1"/>
      <c r="H3" s="51"/>
      <c r="I3" s="51"/>
    </row>
    <row r="4" spans="3:9" ht="16.2" thickBot="1">
      <c r="C4" s="1" t="s">
        <v>81</v>
      </c>
      <c r="D4" s="1"/>
      <c r="E4" s="1"/>
      <c r="F4" s="1"/>
      <c r="G4" s="1"/>
      <c r="H4" s="81" t="s">
        <v>129</v>
      </c>
      <c r="I4" s="171" t="s">
        <v>130</v>
      </c>
    </row>
    <row r="5" spans="3:9" ht="16.2" thickBot="1">
      <c r="C5" s="1"/>
      <c r="D5" s="123" t="s">
        <v>118</v>
      </c>
      <c r="E5" s="1">
        <v>1000</v>
      </c>
      <c r="F5" s="1"/>
      <c r="G5" s="1"/>
      <c r="H5" s="341" t="s">
        <v>131</v>
      </c>
      <c r="I5" s="342"/>
    </row>
    <row r="6" spans="3:9" ht="16.2" thickBot="1">
      <c r="C6" s="1"/>
      <c r="D6" s="123" t="s">
        <v>119</v>
      </c>
      <c r="E6" s="1">
        <v>1050</v>
      </c>
      <c r="F6" s="1"/>
      <c r="G6" s="1"/>
      <c r="H6" s="70" t="s">
        <v>124</v>
      </c>
      <c r="I6" s="52"/>
    </row>
    <row r="7" spans="3:9" ht="16.2" thickBot="1">
      <c r="C7" s="1"/>
      <c r="D7" s="123" t="s">
        <v>120</v>
      </c>
      <c r="E7" s="78">
        <v>0.08</v>
      </c>
      <c r="F7" s="1" t="s">
        <v>150</v>
      </c>
      <c r="G7" s="1"/>
      <c r="H7" s="70" t="s">
        <v>132</v>
      </c>
      <c r="I7" s="52"/>
    </row>
    <row r="8" spans="3:9" ht="16.2" thickBot="1">
      <c r="C8" s="1"/>
      <c r="D8" s="178" t="s">
        <v>117</v>
      </c>
      <c r="E8" s="179" t="s">
        <v>139</v>
      </c>
      <c r="F8" s="1"/>
      <c r="G8" s="1"/>
      <c r="H8" s="249" t="s">
        <v>127</v>
      </c>
      <c r="I8" s="250"/>
    </row>
    <row r="9" spans="3:9" ht="16.2" thickBot="1">
      <c r="C9" s="1"/>
      <c r="D9" s="123" t="s">
        <v>121</v>
      </c>
      <c r="E9" s="1">
        <v>2</v>
      </c>
      <c r="F9" s="1" t="s">
        <v>135</v>
      </c>
      <c r="G9" s="1"/>
      <c r="H9" s="249" t="s">
        <v>133</v>
      </c>
      <c r="I9" s="250"/>
    </row>
    <row r="10" spans="3:9">
      <c r="C10" s="1"/>
      <c r="D10" s="123" t="s">
        <v>122</v>
      </c>
      <c r="E10" s="125">
        <v>4.4999999999999998E-2</v>
      </c>
      <c r="F10" s="1" t="s">
        <v>150</v>
      </c>
      <c r="G10" s="1"/>
    </row>
    <row r="11" spans="3:9">
      <c r="C11" s="1"/>
      <c r="D11" s="123" t="s">
        <v>123</v>
      </c>
      <c r="E11" s="125">
        <v>0.01</v>
      </c>
      <c r="F11" s="1"/>
      <c r="G11" s="1"/>
      <c r="H11" s="346" t="s">
        <v>138</v>
      </c>
      <c r="I11" s="346"/>
    </row>
    <row r="12" spans="3:9" ht="16.2" thickBot="1">
      <c r="C12" s="1"/>
      <c r="D12" s="123" t="s">
        <v>126</v>
      </c>
      <c r="E12" s="172">
        <v>0.01</v>
      </c>
      <c r="F12" s="1"/>
      <c r="G12" s="1"/>
    </row>
    <row r="13" spans="3:9" ht="16.2" thickBot="1">
      <c r="C13" s="1"/>
      <c r="D13" s="123" t="s">
        <v>125</v>
      </c>
      <c r="E13" s="172">
        <v>2.5000000000000001E-3</v>
      </c>
      <c r="F13" s="1"/>
      <c r="G13" s="1"/>
      <c r="H13" s="177" t="s">
        <v>134</v>
      </c>
      <c r="I13" s="174">
        <v>180</v>
      </c>
    </row>
    <row r="14" spans="3:9" ht="16.2" thickBot="1">
      <c r="C14" s="1"/>
      <c r="D14" s="123" t="s">
        <v>128</v>
      </c>
      <c r="E14" s="172">
        <v>4.4999999999999997E-3</v>
      </c>
      <c r="F14" s="1"/>
      <c r="G14" s="1"/>
    </row>
    <row r="15" spans="3:9" ht="16.2" thickBot="1">
      <c r="C15" s="1"/>
      <c r="D15" s="123" t="s">
        <v>156</v>
      </c>
      <c r="E15" s="172">
        <v>5.0000000000000001E-3</v>
      </c>
      <c r="F15" s="1"/>
      <c r="G15" s="1"/>
      <c r="H15" s="37" t="s">
        <v>151</v>
      </c>
      <c r="I15" s="176">
        <f>((1+E7)^(I13/360))-1</f>
        <v>3.9230484541326494E-2</v>
      </c>
    </row>
    <row r="16" spans="3:9" ht="16.2" thickBot="1">
      <c r="C16" s="1"/>
      <c r="D16" s="1"/>
      <c r="E16" s="1"/>
      <c r="F16" s="1"/>
      <c r="G16" s="1"/>
      <c r="H16" s="88" t="s">
        <v>167</v>
      </c>
      <c r="I16" s="88">
        <f>E9*2</f>
        <v>4</v>
      </c>
    </row>
    <row r="17" spans="2:16" ht="16.2" thickBot="1">
      <c r="C17" s="1"/>
      <c r="D17" s="1"/>
      <c r="E17" s="1"/>
      <c r="F17" s="1"/>
      <c r="G17" s="1"/>
    </row>
    <row r="18" spans="2:16" ht="16.2" thickBot="1">
      <c r="C18" s="351" t="s">
        <v>136</v>
      </c>
      <c r="D18" s="352"/>
      <c r="E18" s="352"/>
      <c r="F18" s="352"/>
      <c r="G18" s="352"/>
      <c r="H18" s="352"/>
      <c r="I18" s="353"/>
    </row>
    <row r="19" spans="2:16" ht="16.2" thickBot="1"/>
    <row r="20" spans="2:16" ht="16.2" thickBot="1">
      <c r="C20" s="88" t="s">
        <v>137</v>
      </c>
      <c r="D20" s="107">
        <v>0</v>
      </c>
      <c r="E20" s="333" t="s">
        <v>154</v>
      </c>
      <c r="F20" s="333"/>
      <c r="I20" s="261" t="s">
        <v>148</v>
      </c>
      <c r="J20" s="347"/>
      <c r="K20" s="347"/>
      <c r="L20" s="347"/>
      <c r="M20" s="347"/>
      <c r="N20" s="347"/>
      <c r="O20" s="262"/>
      <c r="P20" s="194"/>
    </row>
    <row r="21" spans="2:16">
      <c r="C21" s="186" t="s">
        <v>155</v>
      </c>
      <c r="D21" s="188" t="s">
        <v>157</v>
      </c>
      <c r="E21" s="175" t="s">
        <v>158</v>
      </c>
      <c r="F21" s="189" t="s">
        <v>133</v>
      </c>
      <c r="I21" s="182"/>
      <c r="J21" s="182"/>
      <c r="K21" s="182"/>
      <c r="L21" s="1"/>
      <c r="M21" s="1"/>
      <c r="N21" s="1"/>
    </row>
    <row r="22" spans="2:16" ht="16.2" thickBot="1">
      <c r="C22" s="186" t="s">
        <v>155</v>
      </c>
      <c r="D22" s="188">
        <f>E6</f>
        <v>1050</v>
      </c>
      <c r="E22" s="175">
        <f>E6*E14</f>
        <v>4.7249999999999996</v>
      </c>
      <c r="F22" s="189">
        <f>E6*E15</f>
        <v>5.25</v>
      </c>
      <c r="I22" s="337" t="s">
        <v>149</v>
      </c>
      <c r="J22" s="337"/>
      <c r="K22" s="337"/>
      <c r="L22" s="185">
        <f>(1+E10)^(I13/360)-1</f>
        <v>2.2252415013043647E-2</v>
      </c>
      <c r="M22" s="1"/>
      <c r="N22" s="1"/>
    </row>
    <row r="23" spans="2:16" ht="16.2" thickBot="1">
      <c r="C23" s="187" t="s">
        <v>155</v>
      </c>
      <c r="D23" s="9">
        <f>SUM(D22:F22)</f>
        <v>1059.9749999999999</v>
      </c>
      <c r="E23" s="51"/>
      <c r="F23" s="51"/>
      <c r="I23" s="1"/>
      <c r="J23" s="1"/>
      <c r="K23" s="1"/>
      <c r="L23" s="183"/>
      <c r="M23" s="1"/>
      <c r="N23" s="1"/>
    </row>
    <row r="24" spans="2:16" ht="16.8" thickBot="1">
      <c r="C24" s="173"/>
      <c r="D24" s="12"/>
      <c r="I24" s="1"/>
      <c r="L24" s="54"/>
      <c r="M24" s="54"/>
      <c r="N24" s="54"/>
      <c r="O24" s="54"/>
    </row>
    <row r="25" spans="2:16" ht="16.2" thickBot="1">
      <c r="D25" s="1"/>
      <c r="I25" s="1"/>
      <c r="L25" s="1"/>
      <c r="M25" s="1"/>
      <c r="N25" s="1"/>
      <c r="O25" s="1"/>
    </row>
    <row r="26" spans="2:16" ht="16.8" thickBot="1">
      <c r="B26" s="184" t="s">
        <v>166</v>
      </c>
      <c r="C26" s="88" t="s">
        <v>140</v>
      </c>
      <c r="D26" s="83" t="s">
        <v>159</v>
      </c>
      <c r="I26" s="88" t="s">
        <v>152</v>
      </c>
      <c r="J26" s="10" t="s">
        <v>185</v>
      </c>
      <c r="K26" s="10">
        <v>1</v>
      </c>
      <c r="L26" s="1">
        <f>D34/(1+$L$22)^K26</f>
        <v>282.93450843805152</v>
      </c>
      <c r="M26" s="218" t="s">
        <v>212</v>
      </c>
      <c r="N26" s="1"/>
      <c r="O26" s="1"/>
      <c r="P26" s="10"/>
    </row>
    <row r="27" spans="2:16" ht="16.8" thickBot="1">
      <c r="B27" s="10">
        <v>1</v>
      </c>
      <c r="C27" s="180" t="s">
        <v>160</v>
      </c>
      <c r="D27" s="190" t="s">
        <v>161</v>
      </c>
      <c r="I27" s="1"/>
      <c r="J27" s="10" t="s">
        <v>186</v>
      </c>
      <c r="K27" s="10">
        <v>2</v>
      </c>
      <c r="L27" s="1">
        <f>D47/(1+$L$22)^K27</f>
        <v>267.39029991004293</v>
      </c>
      <c r="M27" s="218" t="s">
        <v>213</v>
      </c>
      <c r="N27" s="1"/>
    </row>
    <row r="28" spans="2:16" ht="16.2" thickBot="1">
      <c r="C28" s="180" t="s">
        <v>160</v>
      </c>
      <c r="D28" s="2">
        <f>I15*E5</f>
        <v>39.23048454132649</v>
      </c>
      <c r="I28" s="1"/>
      <c r="J28" s="10" t="s">
        <v>187</v>
      </c>
      <c r="K28" s="10">
        <v>3</v>
      </c>
      <c r="L28" s="1">
        <f>D60/(1+$L$22)^K28</f>
        <v>252.3887571580434</v>
      </c>
      <c r="M28" s="218" t="s">
        <v>214</v>
      </c>
      <c r="N28" s="1"/>
    </row>
    <row r="29" spans="2:16" ht="16.8" thickBot="1">
      <c r="C29" s="87" t="s">
        <v>163</v>
      </c>
      <c r="D29" s="190" t="s">
        <v>162</v>
      </c>
      <c r="E29" s="332" t="s">
        <v>164</v>
      </c>
      <c r="F29" s="333"/>
      <c r="G29" s="333"/>
      <c r="H29" s="333"/>
      <c r="J29" s="10" t="s">
        <v>188</v>
      </c>
      <c r="K29" s="10">
        <v>4</v>
      </c>
      <c r="L29" s="1">
        <f>D77/(1+$L$22)^K29</f>
        <v>240.20294511145042</v>
      </c>
      <c r="M29" s="218" t="s">
        <v>215</v>
      </c>
    </row>
    <row r="30" spans="2:16" ht="16.2" thickBot="1">
      <c r="C30" s="87" t="s">
        <v>163</v>
      </c>
      <c r="D30" s="2">
        <f>E5/I16-B27+1</f>
        <v>250</v>
      </c>
      <c r="J30" s="10" t="s">
        <v>189</v>
      </c>
      <c r="K30" s="10">
        <v>5</v>
      </c>
      <c r="L30" s="1"/>
    </row>
    <row r="31" spans="2:16" ht="16.8" thickBot="1">
      <c r="C31" s="87" t="s">
        <v>141</v>
      </c>
      <c r="D31" s="190" t="s">
        <v>165</v>
      </c>
      <c r="J31" s="10" t="s">
        <v>190</v>
      </c>
      <c r="K31" s="10">
        <v>6</v>
      </c>
      <c r="L31" s="1"/>
    </row>
    <row r="32" spans="2:16" ht="16.2" thickBot="1">
      <c r="C32" s="87" t="s">
        <v>141</v>
      </c>
      <c r="D32" s="2">
        <f>D28+D30</f>
        <v>289.23048454132652</v>
      </c>
      <c r="L32" s="184">
        <f>SUM(L26:L31)</f>
        <v>1042.9165106175883</v>
      </c>
    </row>
    <row r="33" spans="2:16" ht="16.2" thickBot="1">
      <c r="C33" s="191" t="s">
        <v>168</v>
      </c>
      <c r="D33" s="56" t="s">
        <v>141</v>
      </c>
    </row>
    <row r="34" spans="2:16" ht="16.2" thickBot="1">
      <c r="C34" s="192" t="s">
        <v>168</v>
      </c>
      <c r="D34" s="187">
        <f>D32</f>
        <v>289.23048454132652</v>
      </c>
      <c r="I34" s="261" t="s">
        <v>153</v>
      </c>
      <c r="J34" s="347"/>
      <c r="K34" s="347"/>
      <c r="L34" s="347"/>
      <c r="M34" s="347"/>
      <c r="N34" s="347"/>
      <c r="O34" s="262"/>
      <c r="P34" s="184"/>
    </row>
    <row r="35" spans="2:16" ht="16.2" thickBot="1">
      <c r="C35" s="87" t="s">
        <v>169</v>
      </c>
      <c r="D35" s="87" t="s">
        <v>178</v>
      </c>
    </row>
    <row r="36" spans="2:16" ht="16.2" thickBot="1">
      <c r="C36" s="193" t="s">
        <v>169</v>
      </c>
      <c r="D36" s="193">
        <f>$E$5-D30</f>
        <v>750</v>
      </c>
      <c r="I36" s="87" t="s">
        <v>198</v>
      </c>
      <c r="J36" s="197">
        <f>L32-D23</f>
        <v>-17.058489382411608</v>
      </c>
      <c r="K36" s="1"/>
      <c r="L36" s="1"/>
      <c r="M36" s="1"/>
      <c r="N36" s="1"/>
    </row>
    <row r="37" spans="2:16" ht="16.2" thickBot="1">
      <c r="C37" s="173"/>
      <c r="D37" s="12"/>
      <c r="I37" s="1"/>
      <c r="J37" s="1"/>
      <c r="K37" s="1"/>
      <c r="L37" s="1"/>
      <c r="M37" s="1"/>
      <c r="N37" s="1"/>
    </row>
    <row r="38" spans="2:16" ht="16.2" thickBot="1">
      <c r="D38" s="1"/>
      <c r="K38" s="126"/>
      <c r="L38" s="1"/>
      <c r="M38" s="1"/>
      <c r="N38" s="1"/>
    </row>
    <row r="39" spans="2:16" ht="16.8" thickBot="1">
      <c r="B39" s="184" t="s">
        <v>166</v>
      </c>
      <c r="C39" s="88" t="s">
        <v>142</v>
      </c>
      <c r="D39" s="83" t="s">
        <v>170</v>
      </c>
      <c r="I39" s="1"/>
      <c r="J39" s="1"/>
      <c r="K39" s="1"/>
      <c r="L39" s="1"/>
      <c r="M39" s="1"/>
      <c r="N39" s="1"/>
    </row>
    <row r="40" spans="2:16" ht="16.8" thickBot="1">
      <c r="B40" s="10">
        <v>2</v>
      </c>
      <c r="C40" s="180" t="s">
        <v>173</v>
      </c>
      <c r="D40" s="190" t="s">
        <v>161</v>
      </c>
      <c r="I40" s="1"/>
      <c r="J40" s="1"/>
      <c r="K40" s="1"/>
      <c r="L40" s="1"/>
      <c r="M40" s="1"/>
      <c r="N40" s="1"/>
    </row>
    <row r="41" spans="2:16" ht="16.2" thickBot="1">
      <c r="C41" s="180" t="s">
        <v>160</v>
      </c>
      <c r="D41" s="2">
        <f>D36*$I$15</f>
        <v>29.422863405994871</v>
      </c>
    </row>
    <row r="42" spans="2:16" ht="16.8" thickBot="1">
      <c r="C42" s="87" t="s">
        <v>174</v>
      </c>
      <c r="D42" s="190" t="s">
        <v>162</v>
      </c>
    </row>
    <row r="43" spans="2:16" ht="16.2" thickBot="1">
      <c r="C43" s="87" t="s">
        <v>174</v>
      </c>
      <c r="D43" s="2">
        <f>D36/($I$16-B40+1)</f>
        <v>250</v>
      </c>
    </row>
    <row r="44" spans="2:16" ht="16.8" thickBot="1">
      <c r="C44" s="87" t="s">
        <v>143</v>
      </c>
      <c r="D44" s="190" t="s">
        <v>165</v>
      </c>
    </row>
    <row r="45" spans="2:16" ht="16.2" thickBot="1">
      <c r="C45" s="87" t="s">
        <v>143</v>
      </c>
      <c r="D45" s="2">
        <f>D41+D43</f>
        <v>279.42286340599486</v>
      </c>
    </row>
    <row r="46" spans="2:16" ht="16.2" thickBot="1">
      <c r="C46" s="191" t="s">
        <v>175</v>
      </c>
      <c r="D46" s="56" t="s">
        <v>141</v>
      </c>
    </row>
    <row r="47" spans="2:16" ht="16.2" thickBot="1">
      <c r="C47" s="192" t="s">
        <v>175</v>
      </c>
      <c r="D47" s="187">
        <f>D45</f>
        <v>279.42286340599486</v>
      </c>
    </row>
    <row r="48" spans="2:16" ht="16.2" thickBot="1">
      <c r="C48" s="87" t="s">
        <v>176</v>
      </c>
      <c r="D48" s="87" t="s">
        <v>177</v>
      </c>
    </row>
    <row r="49" spans="2:4" ht="16.2" thickBot="1">
      <c r="C49" s="193" t="s">
        <v>176</v>
      </c>
      <c r="D49" s="193">
        <f>D36-D43</f>
        <v>500</v>
      </c>
    </row>
    <row r="50" spans="2:4" ht="16.2" thickBot="1">
      <c r="C50" s="173"/>
      <c r="D50" s="12"/>
    </row>
    <row r="51" spans="2:4" ht="16.2" thickBot="1">
      <c r="D51" s="1"/>
    </row>
    <row r="52" spans="2:4" ht="16.8" thickBot="1">
      <c r="B52" s="184" t="s">
        <v>166</v>
      </c>
      <c r="C52" s="88" t="s">
        <v>144</v>
      </c>
      <c r="D52" s="83" t="s">
        <v>172</v>
      </c>
    </row>
    <row r="53" spans="2:4" ht="16.8" thickBot="1">
      <c r="B53" s="10">
        <v>3</v>
      </c>
      <c r="C53" s="180" t="s">
        <v>179</v>
      </c>
      <c r="D53" s="190" t="s">
        <v>161</v>
      </c>
    </row>
    <row r="54" spans="2:4" ht="16.2" thickBot="1">
      <c r="C54" s="180" t="s">
        <v>179</v>
      </c>
      <c r="D54" s="2">
        <f t="shared" ref="D54" si="0">D49*$I$15</f>
        <v>19.615242270663245</v>
      </c>
    </row>
    <row r="55" spans="2:4" ht="16.8" thickBot="1">
      <c r="C55" s="87" t="s">
        <v>180</v>
      </c>
      <c r="D55" s="190" t="s">
        <v>162</v>
      </c>
    </row>
    <row r="56" spans="2:4" ht="16.2" thickBot="1">
      <c r="C56" s="87" t="s">
        <v>180</v>
      </c>
      <c r="D56" s="2">
        <f t="shared" ref="D56" si="1">D49/($I$16-B53+1)</f>
        <v>250</v>
      </c>
    </row>
    <row r="57" spans="2:4" ht="16.8" thickBot="1">
      <c r="C57" s="87" t="s">
        <v>145</v>
      </c>
      <c r="D57" s="190" t="s">
        <v>165</v>
      </c>
    </row>
    <row r="58" spans="2:4" ht="16.2" thickBot="1">
      <c r="C58" s="87" t="s">
        <v>145</v>
      </c>
      <c r="D58" s="2">
        <f t="shared" ref="D58" si="2">D54+D56</f>
        <v>269.61524227066326</v>
      </c>
    </row>
    <row r="59" spans="2:4" ht="16.2" thickBot="1">
      <c r="C59" s="191" t="s">
        <v>181</v>
      </c>
      <c r="D59" s="56" t="s">
        <v>141</v>
      </c>
    </row>
    <row r="60" spans="2:4" ht="16.2" thickBot="1">
      <c r="C60" s="192" t="s">
        <v>181</v>
      </c>
      <c r="D60" s="187">
        <f t="shared" ref="D60" si="3">D58</f>
        <v>269.61524227066326</v>
      </c>
    </row>
    <row r="61" spans="2:4" ht="16.2" thickBot="1">
      <c r="C61" s="87" t="s">
        <v>182</v>
      </c>
      <c r="D61" s="87" t="s">
        <v>183</v>
      </c>
    </row>
    <row r="62" spans="2:4" ht="16.2" thickBot="1">
      <c r="C62" s="193" t="s">
        <v>182</v>
      </c>
      <c r="D62" s="193">
        <f t="shared" ref="D62" si="4">D49-D56</f>
        <v>250</v>
      </c>
    </row>
    <row r="63" spans="2:4" ht="16.2" thickBot="1">
      <c r="C63" s="173"/>
      <c r="D63" s="12"/>
    </row>
    <row r="64" spans="2:4" ht="16.2" thickBot="1">
      <c r="D64" s="1"/>
    </row>
    <row r="65" spans="2:4" ht="16.8" thickBot="1">
      <c r="B65" s="184" t="s">
        <v>166</v>
      </c>
      <c r="C65" s="88" t="s">
        <v>140</v>
      </c>
      <c r="D65" s="83" t="s">
        <v>171</v>
      </c>
    </row>
    <row r="66" spans="2:4" ht="16.8" thickBot="1">
      <c r="B66" s="10">
        <v>4</v>
      </c>
      <c r="C66" s="180" t="s">
        <v>191</v>
      </c>
      <c r="D66" s="190" t="s">
        <v>161</v>
      </c>
    </row>
    <row r="67" spans="2:4" ht="16.2" thickBot="1">
      <c r="C67" s="180" t="s">
        <v>191</v>
      </c>
      <c r="D67" s="2">
        <f>D62*$I$15</f>
        <v>9.8076211353316225</v>
      </c>
    </row>
    <row r="68" spans="2:4" ht="16.8" thickBot="1">
      <c r="C68" s="87" t="s">
        <v>192</v>
      </c>
      <c r="D68" s="190" t="s">
        <v>162</v>
      </c>
    </row>
    <row r="69" spans="2:4" ht="16.2" thickBot="1">
      <c r="C69" s="87" t="s">
        <v>192</v>
      </c>
      <c r="D69" s="2">
        <f>D62/($I$16-B66+1)</f>
        <v>250</v>
      </c>
    </row>
    <row r="70" spans="2:4" ht="16.8" thickBot="1">
      <c r="C70" s="87" t="s">
        <v>147</v>
      </c>
      <c r="D70" s="190" t="s">
        <v>165</v>
      </c>
    </row>
    <row r="71" spans="2:4" ht="16.2" thickBot="1">
      <c r="C71" s="87" t="s">
        <v>147</v>
      </c>
      <c r="D71" s="2">
        <f t="shared" ref="D71" si="5">D67+D69</f>
        <v>259.8076211353316</v>
      </c>
    </row>
    <row r="72" spans="2:4" ht="16.2" thickBot="1">
      <c r="C72" s="191" t="s">
        <v>195</v>
      </c>
      <c r="D72" s="56" t="s">
        <v>141</v>
      </c>
    </row>
    <row r="73" spans="2:4" ht="16.2" thickBot="1">
      <c r="C73" s="191" t="s">
        <v>195</v>
      </c>
      <c r="D73" s="56">
        <f t="shared" ref="D73" si="6">D71</f>
        <v>259.8076211353316</v>
      </c>
    </row>
    <row r="74" spans="2:4" ht="16.2" thickBot="1">
      <c r="C74" s="210" t="s">
        <v>193</v>
      </c>
      <c r="D74" s="211" t="s">
        <v>194</v>
      </c>
    </row>
    <row r="75" spans="2:4" ht="16.2" thickBot="1">
      <c r="C75" s="210" t="s">
        <v>193</v>
      </c>
      <c r="D75" s="212">
        <f>E11*D62</f>
        <v>2.5</v>
      </c>
    </row>
    <row r="76" spans="2:4" ht="16.8" thickBot="1">
      <c r="C76" s="191" t="s">
        <v>196</v>
      </c>
      <c r="D76" s="195" t="s">
        <v>197</v>
      </c>
    </row>
    <row r="77" spans="2:4" ht="16.2" thickBot="1">
      <c r="C77" s="192" t="s">
        <v>196</v>
      </c>
      <c r="D77" s="196">
        <f>D73+D75</f>
        <v>262.3076211353316</v>
      </c>
    </row>
    <row r="78" spans="2:4" ht="16.2" thickBot="1">
      <c r="C78" s="87" t="s">
        <v>169</v>
      </c>
      <c r="D78" s="87" t="s">
        <v>184</v>
      </c>
    </row>
    <row r="79" spans="2:4" ht="16.2" thickBot="1">
      <c r="C79" s="193" t="s">
        <v>169</v>
      </c>
      <c r="D79" s="193">
        <f t="shared" ref="D79" si="7">D62-D69</f>
        <v>0</v>
      </c>
    </row>
    <row r="80" spans="2:4" ht="16.2" thickBot="1">
      <c r="C80" s="173"/>
      <c r="D80" s="12"/>
    </row>
  </sheetData>
  <mergeCells count="11">
    <mergeCell ref="C18:I18"/>
    <mergeCell ref="C2:I2"/>
    <mergeCell ref="H5:I5"/>
    <mergeCell ref="H8:I8"/>
    <mergeCell ref="H9:I9"/>
    <mergeCell ref="H11:I11"/>
    <mergeCell ref="I34:O34"/>
    <mergeCell ref="I22:K22"/>
    <mergeCell ref="E20:F20"/>
    <mergeCell ref="E29:H29"/>
    <mergeCell ref="I20:O20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2DC0-DF26-48C6-9BAF-6619BD5D3AB7}">
  <dimension ref="A1:AN74"/>
  <sheetViews>
    <sheetView topLeftCell="A24" workbookViewId="0">
      <selection activeCell="F45" sqref="F45"/>
    </sheetView>
  </sheetViews>
  <sheetFormatPr baseColWidth="10" defaultRowHeight="14.4"/>
  <cols>
    <col min="1" max="2" width="11.5546875" style="122"/>
    <col min="3" max="3" width="17.77734375" style="122" bestFit="1" customWidth="1"/>
    <col min="4" max="4" width="61.109375" style="122" bestFit="1" customWidth="1"/>
    <col min="5" max="5" width="14.88671875" style="122" customWidth="1"/>
    <col min="6" max="6" width="14.109375" style="122" customWidth="1"/>
    <col min="7" max="7" width="13.21875" style="122" bestFit="1" customWidth="1"/>
    <col min="8" max="8" width="23.21875" style="122" bestFit="1" customWidth="1"/>
    <col min="9" max="9" width="14.5546875" style="122" customWidth="1"/>
    <col min="10" max="10" width="11.33203125" style="122" customWidth="1"/>
    <col min="11" max="11" width="14.88671875" style="122" customWidth="1"/>
    <col min="12" max="12" width="21.33203125" style="122" customWidth="1"/>
    <col min="13" max="13" width="13.21875" style="122" bestFit="1" customWidth="1"/>
    <col min="14" max="14" width="19.44140625" style="122" customWidth="1"/>
    <col min="15" max="40" width="11.5546875" style="122"/>
  </cols>
  <sheetData>
    <row r="1" spans="3:9" ht="15" thickBot="1"/>
    <row r="2" spans="3:9" ht="16.8" thickBot="1">
      <c r="C2" s="357" t="s">
        <v>115</v>
      </c>
      <c r="D2" s="358"/>
      <c r="E2" s="358"/>
      <c r="F2" s="358"/>
      <c r="G2" s="358"/>
      <c r="H2" s="358"/>
      <c r="I2" s="359"/>
    </row>
    <row r="3" spans="3:9" ht="16.2" thickBot="1">
      <c r="C3" s="1"/>
      <c r="D3" s="1"/>
      <c r="E3" s="1"/>
      <c r="F3" s="1"/>
      <c r="G3" s="1"/>
      <c r="H3" s="51"/>
      <c r="I3" s="51"/>
    </row>
    <row r="4" spans="3:9" ht="16.2" thickBot="1">
      <c r="C4" s="1" t="s">
        <v>81</v>
      </c>
      <c r="D4" s="1"/>
      <c r="E4" s="1"/>
      <c r="F4" s="1"/>
      <c r="G4" s="1"/>
      <c r="H4" s="81" t="s">
        <v>129</v>
      </c>
      <c r="I4" s="171" t="s">
        <v>130</v>
      </c>
    </row>
    <row r="5" spans="3:9" ht="16.2" thickBot="1">
      <c r="C5" s="1"/>
      <c r="D5" s="123" t="s">
        <v>118</v>
      </c>
      <c r="E5" s="1">
        <v>1000</v>
      </c>
      <c r="F5" s="1"/>
      <c r="G5" s="1"/>
      <c r="H5" s="341" t="s">
        <v>131</v>
      </c>
      <c r="I5" s="342"/>
    </row>
    <row r="6" spans="3:9" ht="16.2" thickBot="1">
      <c r="C6" s="1"/>
      <c r="D6" s="123" t="s">
        <v>119</v>
      </c>
      <c r="E6" s="1">
        <v>1050</v>
      </c>
      <c r="F6" s="1"/>
      <c r="G6" s="1"/>
      <c r="H6" s="70" t="s">
        <v>124</v>
      </c>
      <c r="I6" s="52"/>
    </row>
    <row r="7" spans="3:9" ht="16.2" thickBot="1">
      <c r="C7" s="1"/>
      <c r="D7" s="123" t="s">
        <v>120</v>
      </c>
      <c r="E7" s="78">
        <v>0.08</v>
      </c>
      <c r="F7" s="1" t="s">
        <v>150</v>
      </c>
      <c r="G7" s="1"/>
      <c r="H7" s="70" t="s">
        <v>132</v>
      </c>
      <c r="I7" s="52"/>
    </row>
    <row r="8" spans="3:9" ht="16.2" thickBot="1">
      <c r="C8" s="1"/>
      <c r="D8" s="178" t="s">
        <v>117</v>
      </c>
      <c r="E8" s="179" t="s">
        <v>139</v>
      </c>
      <c r="F8" s="1"/>
      <c r="G8" s="1"/>
      <c r="H8" s="249" t="s">
        <v>127</v>
      </c>
      <c r="I8" s="250"/>
    </row>
    <row r="9" spans="3:9" ht="16.2" thickBot="1">
      <c r="C9" s="1"/>
      <c r="D9" s="123" t="s">
        <v>121</v>
      </c>
      <c r="E9" s="1">
        <v>2</v>
      </c>
      <c r="F9" s="1" t="s">
        <v>135</v>
      </c>
      <c r="G9" s="1"/>
      <c r="H9" s="249" t="s">
        <v>133</v>
      </c>
      <c r="I9" s="250"/>
    </row>
    <row r="10" spans="3:9" ht="15.6">
      <c r="C10" s="1"/>
      <c r="D10" s="123" t="s">
        <v>122</v>
      </c>
      <c r="E10" s="125">
        <v>4.4999999999999998E-2</v>
      </c>
      <c r="F10" s="1" t="s">
        <v>150</v>
      </c>
      <c r="G10" s="1"/>
      <c r="H10" s="4"/>
      <c r="I10" s="4"/>
    </row>
    <row r="11" spans="3:9" ht="15.6">
      <c r="C11" s="1"/>
      <c r="D11" s="123" t="s">
        <v>123</v>
      </c>
      <c r="E11" s="125">
        <v>0.01</v>
      </c>
      <c r="F11" s="1"/>
      <c r="G11" s="1"/>
      <c r="H11" s="346" t="s">
        <v>138</v>
      </c>
      <c r="I11" s="346"/>
    </row>
    <row r="12" spans="3:9" ht="16.2" thickBot="1">
      <c r="C12" s="1"/>
      <c r="D12" s="123" t="s">
        <v>126</v>
      </c>
      <c r="E12" s="172">
        <v>0.01</v>
      </c>
      <c r="F12" s="1"/>
      <c r="G12" s="1"/>
      <c r="H12" s="4"/>
      <c r="I12" s="4"/>
    </row>
    <row r="13" spans="3:9" ht="16.2" thickBot="1">
      <c r="C13" s="1"/>
      <c r="D13" s="123" t="s">
        <v>125</v>
      </c>
      <c r="E13" s="172">
        <v>2.5000000000000001E-3</v>
      </c>
      <c r="F13" s="1"/>
      <c r="G13" s="1"/>
      <c r="H13" s="177" t="s">
        <v>134</v>
      </c>
      <c r="I13" s="174">
        <v>180</v>
      </c>
    </row>
    <row r="14" spans="3:9" ht="16.2" thickBot="1">
      <c r="C14" s="1"/>
      <c r="D14" s="123" t="s">
        <v>128</v>
      </c>
      <c r="E14" s="172">
        <v>4.4999999999999997E-3</v>
      </c>
      <c r="F14" s="1"/>
      <c r="G14" s="1"/>
      <c r="H14" s="4"/>
      <c r="I14" s="4"/>
    </row>
    <row r="15" spans="3:9" ht="16.2" thickBot="1">
      <c r="C15" s="1"/>
      <c r="D15" s="123" t="s">
        <v>156</v>
      </c>
      <c r="E15" s="172">
        <v>5.0000000000000001E-3</v>
      </c>
      <c r="F15" s="1"/>
      <c r="G15" s="1"/>
      <c r="H15" s="37" t="s">
        <v>151</v>
      </c>
      <c r="I15" s="176">
        <f>((1+E7)^(I13/360))-1</f>
        <v>3.9230484541326494E-2</v>
      </c>
    </row>
    <row r="16" spans="3:9" ht="16.2" thickBot="1">
      <c r="C16" s="1"/>
      <c r="D16" s="1"/>
      <c r="E16" s="1"/>
      <c r="F16" s="1"/>
      <c r="G16" s="1"/>
      <c r="H16" s="219" t="s">
        <v>167</v>
      </c>
      <c r="I16" s="219">
        <f>E9*2</f>
        <v>4</v>
      </c>
    </row>
    <row r="17" spans="2:14" ht="16.2" thickBot="1">
      <c r="C17" s="1"/>
      <c r="D17" s="1"/>
      <c r="E17" s="1"/>
      <c r="F17" s="1"/>
      <c r="G17" s="1"/>
      <c r="H17" s="4"/>
      <c r="I17" s="4"/>
    </row>
    <row r="18" spans="2:14" ht="16.2" thickBot="1">
      <c r="C18" s="360" t="s">
        <v>136</v>
      </c>
      <c r="D18" s="361"/>
      <c r="E18" s="361"/>
      <c r="F18" s="361"/>
      <c r="G18" s="361"/>
      <c r="H18" s="361"/>
      <c r="I18" s="362"/>
    </row>
    <row r="19" spans="2:14" ht="15" thickBot="1"/>
    <row r="20" spans="2:14" ht="16.2" thickBot="1">
      <c r="C20" s="219" t="s">
        <v>137</v>
      </c>
      <c r="D20" s="220">
        <v>0</v>
      </c>
      <c r="E20" s="333" t="s">
        <v>154</v>
      </c>
      <c r="F20" s="333"/>
      <c r="H20" s="354" t="s">
        <v>148</v>
      </c>
      <c r="I20" s="355"/>
      <c r="J20" s="355"/>
      <c r="K20" s="355"/>
      <c r="L20" s="355"/>
      <c r="M20" s="355"/>
      <c r="N20" s="356"/>
    </row>
    <row r="21" spans="2:14" ht="15.6">
      <c r="C21" s="186" t="s">
        <v>155</v>
      </c>
      <c r="D21" s="188" t="s">
        <v>157</v>
      </c>
      <c r="E21" s="175" t="s">
        <v>158</v>
      </c>
      <c r="F21" s="189" t="s">
        <v>133</v>
      </c>
      <c r="H21" s="182"/>
      <c r="I21" s="182"/>
      <c r="J21" s="182"/>
      <c r="K21" s="1"/>
      <c r="L21" s="1"/>
      <c r="M21" s="1"/>
      <c r="N21" s="4"/>
    </row>
    <row r="22" spans="2:14" ht="16.2" thickBot="1">
      <c r="C22" s="186" t="s">
        <v>155</v>
      </c>
      <c r="D22" s="188">
        <f>E6</f>
        <v>1050</v>
      </c>
      <c r="E22" s="175">
        <f>E6*E14</f>
        <v>4.7249999999999996</v>
      </c>
      <c r="F22" s="189">
        <f>E6*E15</f>
        <v>5.25</v>
      </c>
      <c r="H22" s="337" t="s">
        <v>149</v>
      </c>
      <c r="I22" s="337"/>
      <c r="J22" s="337"/>
      <c r="K22" s="185">
        <f>(1+E10)^(I13/360)-1</f>
        <v>2.2252415013043647E-2</v>
      </c>
      <c r="L22" s="1"/>
      <c r="M22" s="1"/>
      <c r="N22" s="4"/>
    </row>
    <row r="23" spans="2:14" ht="16.2" thickBot="1">
      <c r="C23" s="187" t="s">
        <v>155</v>
      </c>
      <c r="D23" s="9">
        <f>SUM(D22:F22)</f>
        <v>1059.9749999999999</v>
      </c>
      <c r="E23" s="51"/>
      <c r="F23" s="51"/>
      <c r="H23" s="1"/>
      <c r="I23" s="1"/>
      <c r="J23" s="1"/>
      <c r="K23" s="183"/>
      <c r="L23" s="1"/>
      <c r="M23" s="1"/>
      <c r="N23" s="4"/>
    </row>
    <row r="24" spans="2:14" ht="16.8" thickBot="1">
      <c r="C24" s="201"/>
      <c r="D24" s="201"/>
      <c r="H24" s="1"/>
      <c r="I24" s="4"/>
      <c r="J24" s="4"/>
      <c r="K24" s="54"/>
      <c r="L24" s="54"/>
      <c r="M24" s="54"/>
      <c r="N24" s="54"/>
    </row>
    <row r="25" spans="2:14" ht="16.2" thickBot="1">
      <c r="B25" s="4"/>
      <c r="C25" s="4"/>
      <c r="D25" s="1"/>
      <c r="H25" s="1"/>
      <c r="I25" s="4"/>
      <c r="J25" s="4"/>
      <c r="K25" s="1"/>
      <c r="L25" s="1"/>
      <c r="M25" s="1"/>
      <c r="N25" s="1"/>
    </row>
    <row r="26" spans="2:14" ht="16.8" thickBot="1">
      <c r="B26" s="184" t="s">
        <v>166</v>
      </c>
      <c r="C26" s="219" t="s">
        <v>140</v>
      </c>
      <c r="D26" s="221" t="s">
        <v>159</v>
      </c>
      <c r="H26" s="37" t="s">
        <v>152</v>
      </c>
      <c r="I26" s="10" t="s">
        <v>216</v>
      </c>
      <c r="J26" s="10">
        <v>1</v>
      </c>
      <c r="K26" s="1">
        <f>D33/(1+$K$22)^J26</f>
        <v>269.00460585685056</v>
      </c>
      <c r="L26" s="218" t="s">
        <v>212</v>
      </c>
      <c r="M26" s="1"/>
      <c r="N26" s="1"/>
    </row>
    <row r="27" spans="2:14" ht="16.8" thickBot="1">
      <c r="B27" s="10">
        <v>1</v>
      </c>
      <c r="C27" s="180" t="s">
        <v>160</v>
      </c>
      <c r="D27" s="190" t="s">
        <v>161</v>
      </c>
      <c r="H27" s="1"/>
      <c r="I27" s="10" t="s">
        <v>217</v>
      </c>
      <c r="J27" s="10">
        <v>2</v>
      </c>
      <c r="K27" s="1">
        <f>D45/(1+$K$22)^J27</f>
        <v>263.14890716439925</v>
      </c>
      <c r="L27" s="218" t="s">
        <v>213</v>
      </c>
      <c r="M27" s="1"/>
      <c r="N27" s="4"/>
    </row>
    <row r="28" spans="2:14" ht="16.2" thickBot="1">
      <c r="B28" s="4"/>
      <c r="C28" s="180" t="s">
        <v>160</v>
      </c>
      <c r="D28" s="2">
        <f>$I$15*$E$5</f>
        <v>39.23048454132649</v>
      </c>
      <c r="H28" s="1"/>
      <c r="I28" s="10" t="s">
        <v>218</v>
      </c>
      <c r="J28" s="10">
        <v>3</v>
      </c>
      <c r="K28" s="1">
        <f>D57/(1+$K$22)^J28</f>
        <v>257.42067546110104</v>
      </c>
      <c r="L28" s="218" t="s">
        <v>214</v>
      </c>
      <c r="M28" s="1"/>
      <c r="N28" s="4"/>
    </row>
    <row r="29" spans="2:14" ht="16.2" thickBot="1">
      <c r="B29" s="4"/>
      <c r="C29" s="87" t="s">
        <v>141</v>
      </c>
      <c r="D29" s="198" t="s">
        <v>199</v>
      </c>
      <c r="H29" s="4"/>
      <c r="I29" s="10" t="s">
        <v>219</v>
      </c>
      <c r="J29" s="10">
        <v>4</v>
      </c>
      <c r="K29" s="1">
        <f>D71/(1+$K$22)^J29</f>
        <v>254.24024756383267</v>
      </c>
      <c r="L29" s="218" t="s">
        <v>215</v>
      </c>
      <c r="M29" s="4"/>
      <c r="N29" s="4"/>
    </row>
    <row r="30" spans="2:14" ht="16.2" thickBot="1">
      <c r="B30" s="4"/>
      <c r="C30" s="87" t="s">
        <v>141</v>
      </c>
      <c r="D30" s="127">
        <f>E5*(($I$15*((1+$I$15)^($I$16-B27+1)))/(((1+$I$15)^($I$16-B27+1))-1))</f>
        <v>274.99060798679744</v>
      </c>
      <c r="H30" s="4"/>
      <c r="I30" s="10" t="s">
        <v>220</v>
      </c>
      <c r="J30" s="10">
        <v>5</v>
      </c>
      <c r="K30" s="1">
        <f t="shared" ref="K30" si="0">D37/(1+$K$22)^J30</f>
        <v>0</v>
      </c>
      <c r="L30" s="4"/>
      <c r="M30" s="4"/>
      <c r="N30" s="4"/>
    </row>
    <row r="31" spans="2:14" ht="16.8" thickBot="1">
      <c r="B31" s="4"/>
      <c r="C31" s="87" t="s">
        <v>163</v>
      </c>
      <c r="D31" s="199" t="s">
        <v>200</v>
      </c>
      <c r="H31" s="4"/>
      <c r="I31" s="10" t="s">
        <v>221</v>
      </c>
      <c r="J31" s="10">
        <v>6</v>
      </c>
      <c r="K31" s="1"/>
      <c r="L31" s="4"/>
      <c r="M31" s="4"/>
      <c r="N31" s="4"/>
    </row>
    <row r="32" spans="2:14" ht="16.2" thickBot="1">
      <c r="B32" s="4"/>
      <c r="C32" s="87" t="s">
        <v>163</v>
      </c>
      <c r="D32" s="127">
        <f>D30-D28</f>
        <v>235.76012344547095</v>
      </c>
      <c r="H32" s="4"/>
      <c r="I32" s="4"/>
      <c r="J32" s="4"/>
      <c r="K32" s="184">
        <f>SUM(K26:K31)</f>
        <v>1043.8144360461836</v>
      </c>
      <c r="L32" s="4"/>
      <c r="M32" s="4"/>
      <c r="N32" s="4"/>
    </row>
    <row r="33" spans="2:14" ht="16.2" thickBot="1">
      <c r="B33" s="4"/>
      <c r="C33" s="192" t="s">
        <v>201</v>
      </c>
      <c r="D33" s="200">
        <f>D30</f>
        <v>274.99060798679744</v>
      </c>
      <c r="E33" s="4" t="s">
        <v>202</v>
      </c>
      <c r="H33" s="4"/>
      <c r="I33" s="4"/>
      <c r="J33" s="4"/>
      <c r="K33" s="4"/>
      <c r="L33" s="4"/>
      <c r="M33" s="4"/>
      <c r="N33" s="4"/>
    </row>
    <row r="34" spans="2:14" ht="16.8" thickBot="1">
      <c r="B34" s="4"/>
      <c r="C34" s="191" t="s">
        <v>169</v>
      </c>
      <c r="D34" s="195" t="s">
        <v>203</v>
      </c>
      <c r="H34" s="354" t="s">
        <v>153</v>
      </c>
      <c r="I34" s="355"/>
      <c r="J34" s="355"/>
      <c r="K34" s="355"/>
      <c r="L34" s="355"/>
      <c r="M34" s="355"/>
      <c r="N34" s="356"/>
    </row>
    <row r="35" spans="2:14" ht="16.2" thickBot="1">
      <c r="B35" s="4"/>
      <c r="C35" s="202" t="s">
        <v>169</v>
      </c>
      <c r="D35" s="203">
        <f>E5-D32</f>
        <v>764.23987655452902</v>
      </c>
      <c r="H35" s="4"/>
      <c r="I35" s="4"/>
      <c r="J35" s="4"/>
      <c r="K35" s="4"/>
      <c r="L35" s="4"/>
      <c r="M35" s="4"/>
      <c r="N35" s="4"/>
    </row>
    <row r="36" spans="2:14" ht="16.2" thickBot="1">
      <c r="B36" s="4"/>
      <c r="C36" s="173"/>
      <c r="D36" s="12"/>
      <c r="H36" s="87" t="s">
        <v>198</v>
      </c>
      <c r="I36" s="197">
        <f>K32-D23</f>
        <v>-16.160563953816336</v>
      </c>
      <c r="J36" s="1"/>
      <c r="K36" s="1"/>
      <c r="L36" s="1"/>
      <c r="M36" s="1"/>
      <c r="N36" s="4"/>
    </row>
    <row r="37" spans="2:14" ht="16.2" thickBot="1">
      <c r="B37" s="4"/>
      <c r="C37" s="4"/>
      <c r="D37" s="1"/>
    </row>
    <row r="38" spans="2:14" ht="16.8" thickBot="1">
      <c r="B38" s="184" t="s">
        <v>166</v>
      </c>
      <c r="C38" s="219" t="s">
        <v>142</v>
      </c>
      <c r="D38" s="221" t="s">
        <v>170</v>
      </c>
    </row>
    <row r="39" spans="2:14" ht="16.8" thickBot="1">
      <c r="B39" s="10">
        <v>2</v>
      </c>
      <c r="C39" s="180" t="s">
        <v>173</v>
      </c>
      <c r="D39" s="190" t="s">
        <v>161</v>
      </c>
    </row>
    <row r="40" spans="2:14" ht="16.2" thickBot="1">
      <c r="B40" s="4"/>
      <c r="C40" s="180" t="s">
        <v>173</v>
      </c>
      <c r="D40" s="2">
        <f>$I$15*D35</f>
        <v>29.981500663037718</v>
      </c>
    </row>
    <row r="41" spans="2:14" ht="16.2" thickBot="1">
      <c r="B41" s="4"/>
      <c r="C41" s="87" t="s">
        <v>143</v>
      </c>
      <c r="D41" s="198" t="s">
        <v>199</v>
      </c>
    </row>
    <row r="42" spans="2:14" ht="16.2" thickBot="1">
      <c r="B42" s="4"/>
      <c r="C42" s="87" t="s">
        <v>143</v>
      </c>
      <c r="D42" s="127">
        <f>D35*(($I$15*((1+$I$15)^($I$16-B39+1)))/(((1+$I$15)^($I$16-B39+1))-1))</f>
        <v>274.99060798679722</v>
      </c>
    </row>
    <row r="43" spans="2:14" ht="16.8" thickBot="1">
      <c r="B43" s="4"/>
      <c r="C43" s="87" t="s">
        <v>174</v>
      </c>
      <c r="D43" s="199" t="s">
        <v>205</v>
      </c>
    </row>
    <row r="44" spans="2:14" ht="16.2" thickBot="1">
      <c r="B44" s="4"/>
      <c r="C44" s="87" t="s">
        <v>174</v>
      </c>
      <c r="D44" s="127">
        <f>D42-D40</f>
        <v>245.00910732375951</v>
      </c>
    </row>
    <row r="45" spans="2:14" ht="16.2" thickBot="1">
      <c r="B45" s="4"/>
      <c r="C45" s="192" t="s">
        <v>204</v>
      </c>
      <c r="D45" s="200">
        <f t="shared" ref="D45" si="1">D42</f>
        <v>274.99060798679722</v>
      </c>
    </row>
    <row r="46" spans="2:14" ht="16.8" thickBot="1">
      <c r="B46" s="4"/>
      <c r="C46" s="191" t="s">
        <v>176</v>
      </c>
      <c r="D46" s="195" t="s">
        <v>211</v>
      </c>
    </row>
    <row r="47" spans="2:14" ht="16.2" thickBot="1">
      <c r="B47" s="4"/>
      <c r="C47" s="202" t="s">
        <v>176</v>
      </c>
      <c r="D47" s="203">
        <f>D35-D44</f>
        <v>519.23076923076951</v>
      </c>
    </row>
    <row r="48" spans="2:14" ht="16.2" thickBot="1">
      <c r="B48" s="4"/>
      <c r="C48" s="173"/>
      <c r="D48" s="12"/>
    </row>
    <row r="49" spans="2:4" ht="16.2" thickBot="1">
      <c r="B49" s="4"/>
      <c r="C49" s="4"/>
      <c r="D49" s="1"/>
    </row>
    <row r="50" spans="2:4" ht="16.8" thickBot="1">
      <c r="B50" s="184" t="s">
        <v>166</v>
      </c>
      <c r="C50" s="219" t="s">
        <v>142</v>
      </c>
      <c r="D50" s="221" t="s">
        <v>172</v>
      </c>
    </row>
    <row r="51" spans="2:4" ht="16.8" thickBot="1">
      <c r="B51" s="10">
        <v>3</v>
      </c>
      <c r="C51" s="180" t="s">
        <v>173</v>
      </c>
      <c r="D51" s="190" t="s">
        <v>161</v>
      </c>
    </row>
    <row r="52" spans="2:4" ht="16.2" thickBot="1">
      <c r="B52" s="4"/>
      <c r="C52" s="180" t="s">
        <v>173</v>
      </c>
      <c r="D52" s="2">
        <f>$I$15*D47</f>
        <v>20.369674665688766</v>
      </c>
    </row>
    <row r="53" spans="2:4" ht="16.2" thickBot="1">
      <c r="B53" s="4"/>
      <c r="C53" s="87" t="s">
        <v>143</v>
      </c>
      <c r="D53" s="198" t="s">
        <v>199</v>
      </c>
    </row>
    <row r="54" spans="2:4" ht="16.2" thickBot="1">
      <c r="B54" s="4"/>
      <c r="C54" s="87" t="s">
        <v>143</v>
      </c>
      <c r="D54" s="127">
        <f t="shared" ref="D54" si="2">D47*(($I$15*((1+$I$15)^($I$16-B51+1)))/(((1+$I$15)^($I$16-B51+1))-1))</f>
        <v>274.99060798679744</v>
      </c>
    </row>
    <row r="55" spans="2:4" ht="16.8" thickBot="1">
      <c r="B55" s="4"/>
      <c r="C55" s="87" t="s">
        <v>174</v>
      </c>
      <c r="D55" s="199" t="s">
        <v>205</v>
      </c>
    </row>
    <row r="56" spans="2:4" ht="16.2" thickBot="1">
      <c r="B56" s="4"/>
      <c r="C56" s="87" t="s">
        <v>174</v>
      </c>
      <c r="D56" s="127">
        <f t="shared" ref="D56" si="3">D54-D52</f>
        <v>254.62093332110868</v>
      </c>
    </row>
    <row r="57" spans="2:4" ht="16.2" thickBot="1">
      <c r="B57" s="4"/>
      <c r="C57" s="192" t="s">
        <v>204</v>
      </c>
      <c r="D57" s="200">
        <f t="shared" ref="D57" si="4">D54</f>
        <v>274.99060798679744</v>
      </c>
    </row>
    <row r="58" spans="2:4" ht="16.8" thickBot="1">
      <c r="B58" s="4"/>
      <c r="C58" s="191" t="s">
        <v>176</v>
      </c>
      <c r="D58" s="195" t="s">
        <v>211</v>
      </c>
    </row>
    <row r="59" spans="2:4" ht="16.2" thickBot="1">
      <c r="B59" s="4"/>
      <c r="C59" s="202" t="s">
        <v>176</v>
      </c>
      <c r="D59" s="203">
        <f>D47-D56</f>
        <v>264.60983590966083</v>
      </c>
    </row>
    <row r="60" spans="2:4" ht="16.2" thickBot="1">
      <c r="B60" s="4"/>
      <c r="C60" s="173"/>
      <c r="D60" s="12"/>
    </row>
    <row r="61" spans="2:4" ht="16.2" thickBot="1">
      <c r="B61" s="4"/>
      <c r="C61" s="4"/>
      <c r="D61" s="1"/>
    </row>
    <row r="62" spans="2:4" ht="16.8" thickBot="1">
      <c r="B62" s="184" t="s">
        <v>166</v>
      </c>
      <c r="C62" s="219" t="s">
        <v>146</v>
      </c>
      <c r="D62" s="221" t="s">
        <v>171</v>
      </c>
    </row>
    <row r="63" spans="2:4" ht="16.8" thickBot="1">
      <c r="B63" s="10">
        <v>4</v>
      </c>
      <c r="C63" s="180" t="s">
        <v>206</v>
      </c>
      <c r="D63" s="190" t="s">
        <v>161</v>
      </c>
    </row>
    <row r="64" spans="2:4" ht="16.2" thickBot="1">
      <c r="B64" s="4"/>
      <c r="C64" s="180" t="s">
        <v>206</v>
      </c>
      <c r="D64" s="2">
        <f>$I$15*D59</f>
        <v>10.380772077136889</v>
      </c>
    </row>
    <row r="65" spans="2:4" ht="16.2" thickBot="1">
      <c r="B65" s="4"/>
      <c r="C65" s="87" t="s">
        <v>207</v>
      </c>
      <c r="D65" s="198" t="s">
        <v>199</v>
      </c>
    </row>
    <row r="66" spans="2:4" ht="16.2" thickBot="1">
      <c r="B66" s="4"/>
      <c r="C66" s="87" t="s">
        <v>207</v>
      </c>
      <c r="D66" s="127">
        <f>D59*(($I$15*((1+$I$15)^($I$16-B63+1)))/(((1+$I$15)^($I$16-B63+1))-1))</f>
        <v>274.99060798679773</v>
      </c>
    </row>
    <row r="67" spans="2:4" ht="16.8" thickBot="1">
      <c r="B67" s="4"/>
      <c r="C67" s="87" t="s">
        <v>208</v>
      </c>
      <c r="D67" s="199" t="s">
        <v>205</v>
      </c>
    </row>
    <row r="68" spans="2:4" ht="16.2" thickBot="1">
      <c r="B68" s="4"/>
      <c r="C68" s="87" t="s">
        <v>208</v>
      </c>
      <c r="D68" s="127">
        <f>D66-D64</f>
        <v>264.60983590966083</v>
      </c>
    </row>
    <row r="69" spans="2:4" ht="16.8" thickBot="1">
      <c r="B69" s="4"/>
      <c r="C69" s="213" t="s">
        <v>209</v>
      </c>
      <c r="D69" s="214" t="s">
        <v>210</v>
      </c>
    </row>
    <row r="70" spans="2:4" ht="16.2" thickBot="1">
      <c r="B70" s="4"/>
      <c r="C70" s="213" t="s">
        <v>209</v>
      </c>
      <c r="D70" s="215">
        <f>$E$11*D59</f>
        <v>2.6460983590966083</v>
      </c>
    </row>
    <row r="71" spans="2:4" ht="16.2" thickBot="1">
      <c r="B71" s="4"/>
      <c r="C71" s="192" t="s">
        <v>204</v>
      </c>
      <c r="D71" s="200">
        <f>D66+D70</f>
        <v>277.63670634589431</v>
      </c>
    </row>
    <row r="72" spans="2:4" ht="16.8" thickBot="1">
      <c r="B72" s="4"/>
      <c r="C72" s="191" t="s">
        <v>176</v>
      </c>
      <c r="D72" s="195" t="s">
        <v>211</v>
      </c>
    </row>
    <row r="73" spans="2:4" ht="16.2" thickBot="1">
      <c r="B73" s="4"/>
      <c r="C73" s="202" t="s">
        <v>176</v>
      </c>
      <c r="D73" s="203">
        <f>D59-D68</f>
        <v>0</v>
      </c>
    </row>
    <row r="74" spans="2:4" ht="16.2" thickBot="1">
      <c r="B74" s="4"/>
      <c r="C74" s="173"/>
      <c r="D74" s="12"/>
    </row>
  </sheetData>
  <mergeCells count="10">
    <mergeCell ref="E20:F20"/>
    <mergeCell ref="H20:N20"/>
    <mergeCell ref="H22:J22"/>
    <mergeCell ref="H34:N34"/>
    <mergeCell ref="C2:I2"/>
    <mergeCell ref="H5:I5"/>
    <mergeCell ref="H8:I8"/>
    <mergeCell ref="H9:I9"/>
    <mergeCell ref="H11:I11"/>
    <mergeCell ref="C18:I18"/>
  </mergeCells>
  <phoneticPr fontId="2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E134-60EE-4F2C-B0AF-EE9F03D5546F}">
  <dimension ref="A5:AT29"/>
  <sheetViews>
    <sheetView workbookViewId="0">
      <selection activeCell="K23" sqref="K23"/>
    </sheetView>
  </sheetViews>
  <sheetFormatPr baseColWidth="10" defaultRowHeight="15.6"/>
  <cols>
    <col min="1" max="1" width="11.5546875" style="4"/>
    <col min="2" max="2" width="28.109375" style="4" customWidth="1"/>
    <col min="3" max="3" width="11.5546875" style="1"/>
    <col min="4" max="4" width="19.5546875" style="1" customWidth="1"/>
    <col min="5" max="5" width="11.5546875" style="1"/>
    <col min="6" max="6" width="6.5546875" style="4" customWidth="1"/>
    <col min="7" max="7" width="8.44140625" style="4" customWidth="1"/>
    <col min="8" max="8" width="11.5546875" style="4"/>
    <col min="9" max="9" width="23.21875" style="4" bestFit="1" customWidth="1"/>
    <col min="10" max="10" width="27.88671875" style="4" bestFit="1" customWidth="1"/>
    <col min="11" max="11" width="13.44140625" style="4" bestFit="1" customWidth="1"/>
    <col min="12" max="12" width="13" style="4" bestFit="1" customWidth="1"/>
    <col min="13" max="13" width="27.88671875" style="4" bestFit="1" customWidth="1"/>
    <col min="14" max="14" width="12.88671875" style="4" customWidth="1"/>
    <col min="15" max="46" width="11.5546875" style="4"/>
  </cols>
  <sheetData>
    <row r="5" spans="2:14" ht="16.2" thickBot="1"/>
    <row r="6" spans="2:14" ht="16.8" thickBot="1">
      <c r="I6" s="325" t="s">
        <v>91</v>
      </c>
      <c r="J6" s="326"/>
      <c r="K6" s="327"/>
      <c r="L6" s="54"/>
      <c r="M6" s="54"/>
      <c r="N6" s="54"/>
    </row>
    <row r="7" spans="2:14" ht="16.2" thickBot="1">
      <c r="I7" s="1"/>
      <c r="J7" s="1"/>
      <c r="K7" s="1"/>
      <c r="L7" s="1"/>
      <c r="M7" s="1"/>
      <c r="N7" s="1"/>
    </row>
    <row r="8" spans="2:14" ht="16.2" thickBot="1">
      <c r="I8" s="128" t="s">
        <v>81</v>
      </c>
      <c r="J8" s="124" t="s">
        <v>94</v>
      </c>
      <c r="K8" s="2">
        <v>15</v>
      </c>
      <c r="L8" s="1"/>
      <c r="M8" s="1"/>
      <c r="N8" s="1"/>
    </row>
    <row r="9" spans="2:14" ht="16.2" thickBot="1">
      <c r="B9" s="72" t="s">
        <v>244</v>
      </c>
      <c r="C9" s="228">
        <v>0.3</v>
      </c>
      <c r="I9" s="129"/>
      <c r="J9" s="124" t="s">
        <v>82</v>
      </c>
      <c r="K9" s="133"/>
      <c r="L9" s="1"/>
      <c r="M9" s="1"/>
      <c r="N9" s="1"/>
    </row>
    <row r="10" spans="2:14" ht="16.2" thickBot="1">
      <c r="B10" s="227" t="s">
        <v>245</v>
      </c>
      <c r="C10" s="2">
        <f>SUM(E16:E20)</f>
        <v>266040</v>
      </c>
      <c r="D10" s="232">
        <f>C10/SUM(C16:C20)</f>
        <v>0.10490536277602523</v>
      </c>
      <c r="I10" s="129"/>
      <c r="J10" s="124" t="s">
        <v>93</v>
      </c>
      <c r="K10" s="127">
        <v>100</v>
      </c>
      <c r="L10" s="1"/>
      <c r="M10" s="1"/>
      <c r="N10" s="1"/>
    </row>
    <row r="11" spans="2:14" ht="16.2" thickBot="1">
      <c r="B11" s="227" t="s">
        <v>246</v>
      </c>
      <c r="C11" s="2">
        <f>SUM(E25:E27)</f>
        <v>354918.374489796</v>
      </c>
      <c r="D11" s="232">
        <f>C11/SUM(C25:C27)</f>
        <v>0.14196734979591841</v>
      </c>
      <c r="I11" s="130"/>
      <c r="J11" s="235" t="s">
        <v>262</v>
      </c>
      <c r="K11" s="234">
        <v>0.02</v>
      </c>
      <c r="L11" s="1"/>
      <c r="M11" s="1"/>
      <c r="N11" s="1"/>
    </row>
    <row r="12" spans="2:14" ht="16.2" thickBot="1">
      <c r="B12" s="227" t="s">
        <v>247</v>
      </c>
      <c r="C12" s="2">
        <f>C11+C10</f>
        <v>620958.374489796</v>
      </c>
      <c r="D12" s="239">
        <f>(D10*((C22/(C22+C29))*(1-C9)))+(D11*(C29/(C22+C29)))</f>
        <v>0.10745559461671883</v>
      </c>
      <c r="I12" s="1"/>
      <c r="J12" s="1"/>
      <c r="K12" s="1"/>
      <c r="L12" s="1"/>
      <c r="M12" s="1"/>
      <c r="N12" s="1"/>
    </row>
    <row r="13" spans="2:14" ht="16.2" customHeight="1" thickBot="1">
      <c r="B13" s="363" t="s">
        <v>263</v>
      </c>
      <c r="C13" s="364"/>
      <c r="D13" s="365"/>
      <c r="I13" s="1"/>
      <c r="J13" s="1"/>
      <c r="K13" s="1"/>
      <c r="L13" s="1"/>
      <c r="M13" s="1"/>
      <c r="N13" s="1"/>
    </row>
    <row r="14" spans="2:14" ht="16.2" thickBot="1">
      <c r="I14" s="1"/>
      <c r="J14" s="40" t="s">
        <v>91</v>
      </c>
      <c r="K14" s="113">
        <f>((K8*(1+K9))/(K10*(1-K11)))+K9</f>
        <v>0.15306122448979592</v>
      </c>
      <c r="L14" s="1"/>
      <c r="M14" s="1"/>
      <c r="N14" s="1"/>
    </row>
    <row r="15" spans="2:14" ht="16.2" thickBot="1">
      <c r="B15" s="87" t="s">
        <v>248</v>
      </c>
      <c r="C15" s="87" t="s">
        <v>249</v>
      </c>
      <c r="D15" s="87" t="s">
        <v>250</v>
      </c>
      <c r="E15" s="87" t="s">
        <v>265</v>
      </c>
      <c r="F15" s="1"/>
      <c r="I15" s="1"/>
      <c r="J15" s="1"/>
      <c r="K15" s="1"/>
      <c r="L15" s="1"/>
      <c r="M15" s="1"/>
      <c r="N15" s="1"/>
    </row>
    <row r="16" spans="2:14" ht="16.2" thickBot="1">
      <c r="B16" s="87" t="s">
        <v>258</v>
      </c>
      <c r="C16" s="230">
        <v>500000</v>
      </c>
      <c r="D16" s="240">
        <v>0.12</v>
      </c>
      <c r="E16" s="231">
        <f>C16*D16</f>
        <v>60000</v>
      </c>
    </row>
    <row r="17" spans="2:5" ht="16.2" thickBot="1">
      <c r="B17" s="87" t="s">
        <v>259</v>
      </c>
      <c r="C17" s="110">
        <v>600000</v>
      </c>
      <c r="D17" s="236">
        <v>0.13</v>
      </c>
      <c r="E17" s="231">
        <f t="shared" ref="E17:E20" si="0">C17*D17</f>
        <v>78000</v>
      </c>
    </row>
    <row r="18" spans="2:5" ht="16.2" thickBot="1">
      <c r="B18" s="87" t="s">
        <v>260</v>
      </c>
      <c r="C18" s="110">
        <v>200000</v>
      </c>
      <c r="D18" s="236">
        <v>0.125</v>
      </c>
      <c r="E18" s="231">
        <f t="shared" si="0"/>
        <v>25000</v>
      </c>
    </row>
    <row r="19" spans="2:5" ht="16.2" thickBot="1">
      <c r="B19" s="87" t="s">
        <v>261</v>
      </c>
      <c r="C19" s="110">
        <f>1000*1000</f>
        <v>1000000</v>
      </c>
      <c r="D19" s="236">
        <v>7.0000000000000007E-2</v>
      </c>
      <c r="E19" s="231">
        <f t="shared" si="0"/>
        <v>70000</v>
      </c>
    </row>
    <row r="20" spans="2:5" ht="16.2" thickBot="1">
      <c r="B20" s="87" t="s">
        <v>254</v>
      </c>
      <c r="C20" s="111">
        <v>236000</v>
      </c>
      <c r="D20" s="237">
        <v>0.14000000000000001</v>
      </c>
      <c r="E20" s="233">
        <f t="shared" si="0"/>
        <v>33040</v>
      </c>
    </row>
    <row r="21" spans="2:5" ht="16.2" thickBot="1">
      <c r="B21" s="10"/>
      <c r="D21" s="238"/>
    </row>
    <row r="22" spans="2:5" ht="16.2" thickBot="1">
      <c r="B22" s="241" t="s">
        <v>266</v>
      </c>
      <c r="C22" s="241">
        <f t="shared" ref="C22" si="1">SUM(C16:C20)</f>
        <v>2536000</v>
      </c>
    </row>
    <row r="23" spans="2:5" ht="16.2" thickBot="1"/>
    <row r="24" spans="2:5" ht="16.2" thickBot="1">
      <c r="B24" s="87" t="s">
        <v>251</v>
      </c>
      <c r="C24" s="208" t="s">
        <v>252</v>
      </c>
      <c r="D24" s="87" t="s">
        <v>253</v>
      </c>
      <c r="E24" s="181" t="s">
        <v>264</v>
      </c>
    </row>
    <row r="25" spans="2:5" ht="16.2" thickBot="1">
      <c r="B25" s="225" t="s">
        <v>255</v>
      </c>
      <c r="C25" s="229">
        <v>500000</v>
      </c>
      <c r="D25" s="236">
        <v>0.13571430000000001</v>
      </c>
      <c r="E25" s="231">
        <f>C25*D25</f>
        <v>67857.150000000009</v>
      </c>
    </row>
    <row r="26" spans="2:5" ht="16.2" thickBot="1">
      <c r="B26" s="87" t="s">
        <v>256</v>
      </c>
      <c r="C26" s="108">
        <v>1000000</v>
      </c>
      <c r="D26" s="236">
        <v>0.15306122448979601</v>
      </c>
      <c r="E26" s="231">
        <f>C26*D26</f>
        <v>153061.224489796</v>
      </c>
    </row>
    <row r="27" spans="2:5" ht="16.2" thickBot="1">
      <c r="B27" s="226" t="s">
        <v>257</v>
      </c>
      <c r="C27" s="109">
        <v>1000000</v>
      </c>
      <c r="D27" s="237">
        <v>0.13400000000000001</v>
      </c>
      <c r="E27" s="233">
        <f>C27*D27</f>
        <v>134000</v>
      </c>
    </row>
    <row r="28" spans="2:5" ht="16.2" thickBot="1"/>
    <row r="29" spans="2:5" ht="16.2" thickBot="1">
      <c r="B29" s="241" t="s">
        <v>267</v>
      </c>
      <c r="C29" s="241">
        <f>SUM(C25:C27)</f>
        <v>2500000</v>
      </c>
    </row>
  </sheetData>
  <mergeCells count="2">
    <mergeCell ref="I6:K6"/>
    <mergeCell ref="B13:D13"/>
  </mergeCells>
  <phoneticPr fontId="2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F767-18E3-4C2C-A2F8-1F159E18CFCA}">
  <dimension ref="B1:P72"/>
  <sheetViews>
    <sheetView topLeftCell="C19" workbookViewId="0">
      <selection activeCell="J39" sqref="J39"/>
    </sheetView>
  </sheetViews>
  <sheetFormatPr baseColWidth="10" defaultRowHeight="14.4"/>
  <cols>
    <col min="2" max="2" width="29.33203125" bestFit="1" customWidth="1"/>
    <col min="3" max="3" width="23.5546875" bestFit="1" customWidth="1"/>
    <col min="4" max="4" width="22.6640625" bestFit="1" customWidth="1"/>
    <col min="5" max="5" width="14.33203125" bestFit="1" customWidth="1"/>
    <col min="6" max="6" width="20.6640625" bestFit="1" customWidth="1"/>
    <col min="7" max="7" width="16.6640625" customWidth="1"/>
    <col min="8" max="8" width="27.6640625" bestFit="1" customWidth="1"/>
    <col min="10" max="10" width="16.109375" bestFit="1" customWidth="1"/>
    <col min="11" max="11" width="14.5546875" bestFit="1" customWidth="1"/>
  </cols>
  <sheetData>
    <row r="1" spans="2:16" ht="15" thickBot="1"/>
    <row r="2" spans="2:16" ht="16.2" thickBot="1">
      <c r="B2" s="275" t="s">
        <v>277</v>
      </c>
      <c r="C2" s="328"/>
      <c r="D2" s="328"/>
      <c r="E2" s="328"/>
      <c r="F2" s="328"/>
      <c r="G2" s="328"/>
      <c r="H2" s="276"/>
    </row>
    <row r="3" spans="2:16" ht="15.6">
      <c r="B3" s="134"/>
      <c r="C3" s="135"/>
      <c r="D3" s="136"/>
      <c r="E3" s="135"/>
      <c r="F3" s="135"/>
      <c r="G3" s="102"/>
      <c r="H3" s="366"/>
    </row>
    <row r="4" spans="2:16" ht="15.6">
      <c r="B4" s="329"/>
      <c r="C4" s="330"/>
      <c r="D4" s="138"/>
      <c r="E4" s="51"/>
      <c r="F4" s="51"/>
      <c r="G4" s="4"/>
      <c r="H4" s="148"/>
    </row>
    <row r="5" spans="2:16" ht="15.6">
      <c r="B5" s="140" t="s">
        <v>278</v>
      </c>
      <c r="C5" s="367">
        <v>8.9999999999999993E-3</v>
      </c>
      <c r="D5" s="1"/>
      <c r="E5" s="142"/>
      <c r="F5" s="142"/>
      <c r="G5" s="4"/>
      <c r="H5" s="148"/>
    </row>
    <row r="6" spans="2:16" ht="15.6">
      <c r="B6" s="144"/>
      <c r="C6" s="368"/>
      <c r="D6" s="1"/>
      <c r="E6" s="51"/>
      <c r="F6" s="51"/>
      <c r="G6" s="4"/>
      <c r="H6" s="148"/>
    </row>
    <row r="7" spans="2:16" ht="15.6">
      <c r="B7" s="144"/>
      <c r="C7" s="369"/>
      <c r="D7" s="1"/>
      <c r="E7" s="51"/>
      <c r="F7" s="51"/>
      <c r="G7" s="4"/>
      <c r="H7" s="148"/>
    </row>
    <row r="8" spans="2:16" ht="15.6">
      <c r="B8" s="144"/>
      <c r="C8" s="369"/>
      <c r="D8" s="1"/>
      <c r="E8" s="51"/>
      <c r="F8" s="51"/>
      <c r="G8" s="4"/>
      <c r="H8" s="148"/>
    </row>
    <row r="9" spans="2:16" ht="15.6">
      <c r="B9" s="147"/>
      <c r="C9" s="4"/>
      <c r="D9" s="1"/>
      <c r="E9" s="4"/>
      <c r="F9" s="4"/>
      <c r="G9" s="4"/>
      <c r="H9" s="148"/>
    </row>
    <row r="10" spans="2:16" ht="15.6">
      <c r="B10" s="370">
        <f>B12</f>
        <v>9.081735620585266E-3</v>
      </c>
      <c r="C10" s="4"/>
      <c r="D10" s="1"/>
      <c r="E10" s="4"/>
      <c r="F10" s="4"/>
      <c r="G10" s="4"/>
      <c r="H10" s="148"/>
    </row>
    <row r="11" spans="2:16" ht="15.6">
      <c r="B11" s="131" t="s">
        <v>279</v>
      </c>
      <c r="C11" s="1" t="s">
        <v>280</v>
      </c>
      <c r="D11" s="1" t="s">
        <v>281</v>
      </c>
      <c r="E11" s="1" t="s">
        <v>280</v>
      </c>
      <c r="F11" s="1"/>
      <c r="G11" s="1"/>
      <c r="H11" s="148"/>
    </row>
    <row r="12" spans="2:16" ht="15.6">
      <c r="B12" s="371">
        <f>C12/(D12-E12)</f>
        <v>9.081735620585266E-3</v>
      </c>
      <c r="C12" s="372">
        <f>C5</f>
        <v>8.9999999999999993E-3</v>
      </c>
      <c r="D12" s="156">
        <v>1</v>
      </c>
      <c r="E12" s="373">
        <f>C5</f>
        <v>8.9999999999999993E-3</v>
      </c>
      <c r="F12" s="374"/>
      <c r="G12" s="375"/>
      <c r="H12" s="148"/>
    </row>
    <row r="13" spans="2:16" ht="16.2" thickBot="1">
      <c r="B13" s="159"/>
      <c r="C13" s="160"/>
      <c r="D13" s="161"/>
      <c r="E13" s="162"/>
      <c r="F13" s="160"/>
      <c r="G13" s="101"/>
      <c r="H13" s="376"/>
    </row>
    <row r="16" spans="2:16" ht="24.6">
      <c r="B16" s="377" t="s">
        <v>282</v>
      </c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</row>
    <row r="17" spans="2:16" ht="16.2" thickBot="1">
      <c r="B17" s="4"/>
      <c r="C17" s="4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 ht="16.2" thickBot="1">
      <c r="B18" s="378" t="s">
        <v>283</v>
      </c>
      <c r="C18" s="379"/>
      <c r="D18" s="379"/>
      <c r="E18" s="379"/>
      <c r="F18" s="379"/>
      <c r="G18" s="379"/>
      <c r="H18" s="380"/>
      <c r="I18" s="4"/>
      <c r="J18" s="378" t="s">
        <v>284</v>
      </c>
      <c r="K18" s="379"/>
      <c r="L18" s="379"/>
      <c r="M18" s="379"/>
      <c r="N18" s="379"/>
      <c r="O18" s="379"/>
      <c r="P18" s="380"/>
    </row>
    <row r="19" spans="2:16" ht="15.6">
      <c r="B19" s="381"/>
      <c r="C19" s="382"/>
      <c r="D19" s="383"/>
      <c r="E19" s="382"/>
      <c r="F19" s="382"/>
      <c r="G19" s="384"/>
      <c r="H19" s="385"/>
      <c r="I19" s="4"/>
      <c r="J19" s="99"/>
      <c r="K19" s="1"/>
      <c r="L19" s="1"/>
      <c r="M19" s="1"/>
      <c r="N19" s="1"/>
      <c r="O19" s="1"/>
      <c r="P19" s="100"/>
    </row>
    <row r="20" spans="2:16" ht="15.6">
      <c r="B20" s="386"/>
      <c r="C20" s="387"/>
      <c r="D20" s="388"/>
      <c r="E20" s="389"/>
      <c r="F20" s="389"/>
      <c r="G20" s="390"/>
      <c r="H20" s="391"/>
      <c r="I20" s="4"/>
      <c r="J20" s="329" t="s">
        <v>285</v>
      </c>
      <c r="K20" s="330"/>
      <c r="L20" s="392" t="s">
        <v>286</v>
      </c>
      <c r="M20" s="1"/>
      <c r="N20" s="1"/>
      <c r="O20" s="1"/>
      <c r="P20" s="100"/>
    </row>
    <row r="21" spans="2:16" ht="15.6">
      <c r="B21" s="393" t="s">
        <v>287</v>
      </c>
      <c r="C21" s="394">
        <v>200</v>
      </c>
      <c r="D21" s="395"/>
      <c r="E21" s="396"/>
      <c r="F21" s="396"/>
      <c r="G21" s="390"/>
      <c r="H21" s="391"/>
      <c r="I21" s="4"/>
      <c r="J21" s="144" t="s">
        <v>288</v>
      </c>
      <c r="K21" s="428">
        <v>9.081735620585266E-3</v>
      </c>
      <c r="L21" s="1" t="s">
        <v>289</v>
      </c>
      <c r="M21" s="1"/>
      <c r="N21" s="1"/>
      <c r="O21" s="1"/>
      <c r="P21" s="100"/>
    </row>
    <row r="22" spans="2:16" ht="15.6">
      <c r="B22" s="397" t="s">
        <v>290</v>
      </c>
      <c r="C22" s="398">
        <v>100</v>
      </c>
      <c r="D22" s="395"/>
      <c r="E22" s="389"/>
      <c r="F22" s="389"/>
      <c r="G22" s="390"/>
      <c r="H22" s="391"/>
      <c r="I22" s="4"/>
      <c r="J22" s="144" t="s">
        <v>100</v>
      </c>
      <c r="K22" s="399">
        <v>360</v>
      </c>
      <c r="L22" s="1"/>
      <c r="M22" s="1"/>
      <c r="N22" s="1"/>
      <c r="O22" s="1"/>
      <c r="P22" s="100"/>
    </row>
    <row r="23" spans="2:16" ht="15.6">
      <c r="B23" s="397"/>
      <c r="C23" s="400"/>
      <c r="D23" s="395"/>
      <c r="E23" s="389"/>
      <c r="F23" s="389"/>
      <c r="G23" s="390"/>
      <c r="H23" s="391"/>
      <c r="I23" s="4"/>
      <c r="J23" s="144" t="s">
        <v>291</v>
      </c>
      <c r="K23" s="399">
        <v>360</v>
      </c>
      <c r="L23" s="1"/>
      <c r="M23" s="333" t="s">
        <v>292</v>
      </c>
      <c r="N23" s="333"/>
      <c r="O23" s="182" t="s">
        <v>293</v>
      </c>
      <c r="P23" s="401"/>
    </row>
    <row r="24" spans="2:16" ht="15.6">
      <c r="B24" s="397"/>
      <c r="C24" s="400"/>
      <c r="D24" s="395"/>
      <c r="E24" s="389"/>
      <c r="F24" s="389"/>
      <c r="G24" s="390"/>
      <c r="H24" s="391"/>
      <c r="I24" s="4"/>
      <c r="J24" s="144"/>
      <c r="K24" s="399"/>
      <c r="L24" s="1"/>
      <c r="M24" s="1"/>
      <c r="N24" s="1"/>
      <c r="O24" s="402" t="s">
        <v>294</v>
      </c>
      <c r="P24" s="100"/>
    </row>
    <row r="25" spans="2:16" ht="15.6">
      <c r="B25" s="403"/>
      <c r="C25" s="390"/>
      <c r="D25" s="395"/>
      <c r="E25" s="390"/>
      <c r="F25" s="390"/>
      <c r="G25" s="390"/>
      <c r="H25" s="391"/>
      <c r="I25" s="4"/>
      <c r="J25" s="99"/>
      <c r="K25" s="1"/>
      <c r="L25" s="1"/>
      <c r="N25" s="1"/>
      <c r="O25" s="1"/>
      <c r="P25" s="100"/>
    </row>
    <row r="26" spans="2:16" ht="15.6">
      <c r="B26" s="403"/>
      <c r="C26" s="390"/>
      <c r="D26" s="395"/>
      <c r="E26" s="390"/>
      <c r="F26" s="390"/>
      <c r="G26" s="390"/>
      <c r="H26" s="391"/>
      <c r="I26" s="4"/>
      <c r="J26" s="404">
        <f>J28</f>
        <v>9.0408581740231142E-3</v>
      </c>
      <c r="K26" s="1"/>
      <c r="L26" s="1"/>
      <c r="M26" s="126">
        <f>K21</f>
        <v>9.081735620585266E-3</v>
      </c>
      <c r="N26" s="1"/>
      <c r="O26" s="1"/>
      <c r="P26" s="100"/>
    </row>
    <row r="27" spans="2:16" ht="15.6">
      <c r="B27" s="405" t="s">
        <v>295</v>
      </c>
      <c r="C27" s="395" t="s">
        <v>296</v>
      </c>
      <c r="D27" s="395" t="s">
        <v>297</v>
      </c>
      <c r="E27" s="395" t="s">
        <v>298</v>
      </c>
      <c r="F27" s="395">
        <v>100</v>
      </c>
      <c r="G27" s="395"/>
      <c r="H27" s="391"/>
      <c r="I27" s="4"/>
      <c r="J27" s="131" t="s">
        <v>299</v>
      </c>
      <c r="K27" s="1" t="s">
        <v>291</v>
      </c>
      <c r="L27" s="1" t="s">
        <v>300</v>
      </c>
      <c r="M27" s="1" t="s">
        <v>301</v>
      </c>
      <c r="N27" s="1" t="s">
        <v>302</v>
      </c>
      <c r="O27" s="1" t="s">
        <v>298</v>
      </c>
      <c r="P27" s="100"/>
    </row>
    <row r="28" spans="2:16" ht="15.6">
      <c r="B28" s="406">
        <f>((C28/D28)-E28)*F28</f>
        <v>100</v>
      </c>
      <c r="C28" s="407">
        <f>C21</f>
        <v>200</v>
      </c>
      <c r="D28" s="408">
        <f>C22</f>
        <v>100</v>
      </c>
      <c r="E28" s="407">
        <v>1</v>
      </c>
      <c r="F28" s="409">
        <v>100</v>
      </c>
      <c r="G28" s="410"/>
      <c r="H28" s="391"/>
      <c r="I28" s="4"/>
      <c r="J28" s="411">
        <f>K28*((L28+M28)^(1/N28)-O28)</f>
        <v>9.0408581740231142E-3</v>
      </c>
      <c r="K28" s="412">
        <f>K23</f>
        <v>360</v>
      </c>
      <c r="L28" s="182">
        <v>1</v>
      </c>
      <c r="M28" s="413">
        <f>K21</f>
        <v>9.081735620585266E-3</v>
      </c>
      <c r="N28" s="412">
        <f>K22</f>
        <v>360</v>
      </c>
      <c r="O28" s="182">
        <v>1</v>
      </c>
      <c r="P28" s="100"/>
    </row>
    <row r="29" spans="2:16" ht="16.2" thickBot="1">
      <c r="B29" s="414"/>
      <c r="C29" s="415"/>
      <c r="D29" s="416"/>
      <c r="E29" s="417"/>
      <c r="F29" s="415"/>
      <c r="G29" s="418"/>
      <c r="H29" s="419"/>
      <c r="I29" s="4"/>
      <c r="J29" s="159"/>
      <c r="K29" s="420"/>
      <c r="L29" s="420"/>
      <c r="M29" s="161"/>
      <c r="N29" s="421"/>
      <c r="O29" s="222"/>
      <c r="P29" s="422"/>
    </row>
    <row r="30" spans="2:16" ht="16.2" thickBot="1">
      <c r="B30" s="4"/>
      <c r="C30" s="4"/>
      <c r="D30" s="1"/>
      <c r="E30" s="4"/>
      <c r="F30" s="4"/>
      <c r="G30" s="4"/>
      <c r="H30" s="4"/>
      <c r="I30" s="4"/>
      <c r="J30" s="1"/>
      <c r="K30" s="1"/>
      <c r="L30" s="1"/>
      <c r="M30" s="1"/>
      <c r="N30" s="1"/>
      <c r="O30" s="1"/>
      <c r="P30" s="1"/>
    </row>
    <row r="31" spans="2:16" ht="16.2" thickBot="1">
      <c r="B31" s="378" t="s">
        <v>303</v>
      </c>
      <c r="C31" s="379"/>
      <c r="D31" s="379"/>
      <c r="E31" s="379"/>
      <c r="F31" s="379"/>
      <c r="G31" s="379"/>
      <c r="H31" s="380"/>
      <c r="I31" s="4"/>
      <c r="J31" s="378" t="s">
        <v>304</v>
      </c>
      <c r="K31" s="423"/>
      <c r="L31" s="423"/>
      <c r="M31" s="423"/>
      <c r="N31" s="423"/>
      <c r="O31" s="423"/>
      <c r="P31" s="424"/>
    </row>
    <row r="32" spans="2:16" ht="15.6">
      <c r="B32" s="425"/>
      <c r="C32" s="102"/>
      <c r="D32" s="136"/>
      <c r="E32" s="102"/>
      <c r="F32" s="102"/>
      <c r="G32" s="102"/>
      <c r="H32" s="366"/>
      <c r="I32" s="4"/>
      <c r="J32" s="99"/>
      <c r="K32" s="1"/>
      <c r="L32" s="1"/>
      <c r="M32" s="1"/>
      <c r="N32" s="1"/>
      <c r="O32" s="1"/>
      <c r="P32" s="100"/>
    </row>
    <row r="33" spans="2:16" ht="15.6">
      <c r="B33" s="329" t="s">
        <v>285</v>
      </c>
      <c r="C33" s="330"/>
      <c r="D33" s="138" t="s">
        <v>305</v>
      </c>
      <c r="E33" s="4"/>
      <c r="F33" s="4"/>
      <c r="G33" s="4"/>
      <c r="H33" s="148"/>
      <c r="I33" s="4"/>
      <c r="J33" s="329"/>
      <c r="K33" s="330"/>
      <c r="L33" s="392"/>
      <c r="M33" s="1"/>
      <c r="N33" s="1"/>
      <c r="O33" s="1"/>
      <c r="P33" s="100"/>
    </row>
    <row r="34" spans="2:16" ht="15.6">
      <c r="B34" s="426" t="s">
        <v>306</v>
      </c>
      <c r="C34" s="427">
        <v>9.5000000000000001E-2</v>
      </c>
      <c r="D34" s="1" t="s">
        <v>289</v>
      </c>
      <c r="E34" s="4"/>
      <c r="F34" s="4"/>
      <c r="G34" s="4"/>
      <c r="H34" s="148"/>
      <c r="I34" s="4"/>
      <c r="J34" s="144" t="s">
        <v>307</v>
      </c>
      <c r="K34" s="428">
        <v>9.081735620585266E-3</v>
      </c>
      <c r="L34" s="1" t="s">
        <v>305</v>
      </c>
      <c r="M34" s="1"/>
      <c r="N34" s="1"/>
      <c r="O34" s="1"/>
      <c r="P34" s="100"/>
    </row>
    <row r="35" spans="2:16" ht="15.6">
      <c r="B35" s="426" t="s">
        <v>291</v>
      </c>
      <c r="C35" s="429">
        <v>12</v>
      </c>
      <c r="D35" s="1"/>
      <c r="E35" s="4"/>
      <c r="F35" s="4"/>
      <c r="G35" s="4"/>
      <c r="H35" s="148"/>
      <c r="I35" s="4"/>
      <c r="J35" s="144" t="s">
        <v>308</v>
      </c>
      <c r="K35" s="3">
        <v>30</v>
      </c>
      <c r="L35" s="1"/>
      <c r="M35" s="1"/>
      <c r="N35" s="1"/>
      <c r="O35" s="1"/>
      <c r="P35" s="100"/>
    </row>
    <row r="36" spans="2:16" ht="15.6">
      <c r="B36" s="426" t="s">
        <v>100</v>
      </c>
      <c r="C36" s="146">
        <v>12</v>
      </c>
      <c r="D36" s="1"/>
      <c r="E36" s="430" t="s">
        <v>309</v>
      </c>
      <c r="F36" s="430"/>
      <c r="G36" s="430"/>
      <c r="H36" s="148"/>
      <c r="I36" s="4"/>
      <c r="J36" s="144" t="s">
        <v>310</v>
      </c>
      <c r="K36" s="431">
        <v>360</v>
      </c>
      <c r="L36" s="1"/>
      <c r="M36" s="1"/>
      <c r="N36" s="1"/>
      <c r="O36" s="1"/>
      <c r="P36" s="100"/>
    </row>
    <row r="37" spans="2:16" ht="15.6">
      <c r="B37" s="426"/>
      <c r="C37" s="146"/>
      <c r="D37" s="1"/>
      <c r="E37" s="432" t="s">
        <v>305</v>
      </c>
      <c r="F37" s="432"/>
      <c r="G37" s="432"/>
      <c r="H37" s="401" t="s">
        <v>311</v>
      </c>
      <c r="I37" s="4"/>
      <c r="J37" s="144"/>
      <c r="K37" s="3"/>
      <c r="L37" s="1"/>
      <c r="M37" s="333" t="s">
        <v>312</v>
      </c>
      <c r="N37" s="333"/>
      <c r="O37" s="1" t="s">
        <v>139</v>
      </c>
      <c r="P37" s="100" t="s">
        <v>313</v>
      </c>
    </row>
    <row r="38" spans="2:16" ht="15.6">
      <c r="B38" s="433"/>
      <c r="C38" s="434"/>
      <c r="D38" s="1"/>
      <c r="E38" s="4"/>
      <c r="F38" s="4"/>
      <c r="G38" s="4"/>
      <c r="H38" s="148"/>
      <c r="I38" s="4"/>
      <c r="J38" s="99"/>
      <c r="K38" s="1"/>
      <c r="L38" s="1"/>
      <c r="M38" s="1"/>
      <c r="N38" s="1"/>
      <c r="O38" s="1"/>
      <c r="P38" s="100"/>
    </row>
    <row r="39" spans="2:16" ht="15.6">
      <c r="B39" s="435">
        <f>B41</f>
        <v>9.9247584081007423E-2</v>
      </c>
      <c r="C39" s="434"/>
      <c r="D39" s="126">
        <f>C34</f>
        <v>9.5000000000000001E-2</v>
      </c>
      <c r="E39" s="4"/>
      <c r="F39" s="4"/>
      <c r="G39" s="4"/>
      <c r="H39" s="148"/>
      <c r="I39" s="4"/>
      <c r="J39" s="436">
        <f>J41</f>
        <v>0.11459257642367815</v>
      </c>
      <c r="K39" s="1"/>
      <c r="L39" s="1"/>
      <c r="M39" s="1"/>
      <c r="N39" s="1"/>
      <c r="O39" s="1"/>
      <c r="P39" s="100"/>
    </row>
    <row r="40" spans="2:16" ht="15.6">
      <c r="B40" s="131" t="s">
        <v>314</v>
      </c>
      <c r="C40" s="1" t="s">
        <v>103</v>
      </c>
      <c r="D40" s="1" t="s">
        <v>315</v>
      </c>
      <c r="E40" s="1" t="s">
        <v>316</v>
      </c>
      <c r="F40" s="1" t="s">
        <v>317</v>
      </c>
      <c r="G40" s="1">
        <v>-1</v>
      </c>
      <c r="H40" s="148"/>
      <c r="I40" s="4"/>
      <c r="J40" s="99" t="s">
        <v>318</v>
      </c>
      <c r="K40" s="1" t="s">
        <v>103</v>
      </c>
      <c r="L40" s="1" t="s">
        <v>319</v>
      </c>
      <c r="M40" s="1" t="s">
        <v>320</v>
      </c>
      <c r="N40" s="1" t="s">
        <v>321</v>
      </c>
      <c r="O40" s="1">
        <v>1</v>
      </c>
      <c r="P40" s="100"/>
    </row>
    <row r="41" spans="2:16" ht="15.6">
      <c r="B41" s="437">
        <f>((C41+(D41/E41))^F41)-1</f>
        <v>9.9247584081007423E-2</v>
      </c>
      <c r="C41" s="402">
        <v>1</v>
      </c>
      <c r="D41" s="438">
        <f>C34</f>
        <v>9.5000000000000001E-2</v>
      </c>
      <c r="E41" s="155">
        <f>C35</f>
        <v>12</v>
      </c>
      <c r="F41" s="402">
        <f>C36</f>
        <v>12</v>
      </c>
      <c r="G41" s="182">
        <v>1</v>
      </c>
      <c r="H41" s="100"/>
      <c r="I41" s="1"/>
      <c r="J41" s="439">
        <f>(K41+L41)^(M41/N41)-O41</f>
        <v>0.11459257642367815</v>
      </c>
      <c r="K41" s="412">
        <v>1</v>
      </c>
      <c r="L41" s="440">
        <f>K34</f>
        <v>9.081735620585266E-3</v>
      </c>
      <c r="M41" s="412">
        <f>K36</f>
        <v>360</v>
      </c>
      <c r="N41" s="10">
        <f>K35</f>
        <v>30</v>
      </c>
      <c r="O41" s="114">
        <v>1</v>
      </c>
      <c r="P41" s="100"/>
    </row>
    <row r="42" spans="2:16" ht="16.2" thickBot="1">
      <c r="B42" s="159"/>
      <c r="C42" s="160"/>
      <c r="D42" s="161"/>
      <c r="E42" s="162"/>
      <c r="F42" s="160"/>
      <c r="G42" s="160"/>
      <c r="H42" s="422"/>
      <c r="I42" s="1"/>
      <c r="J42" s="441"/>
      <c r="K42" s="160"/>
      <c r="L42" s="160"/>
      <c r="M42" s="161"/>
      <c r="N42" s="160"/>
      <c r="O42" s="222"/>
      <c r="P42" s="422"/>
    </row>
    <row r="43" spans="2:16" ht="15.6">
      <c r="B43" s="114"/>
      <c r="C43" s="375"/>
      <c r="D43" s="114"/>
      <c r="E43" s="442"/>
      <c r="F43" s="375"/>
      <c r="G43" s="375"/>
      <c r="H43" s="1"/>
      <c r="I43" s="1"/>
      <c r="J43" s="443"/>
      <c r="K43" s="375"/>
      <c r="L43" s="375"/>
      <c r="M43" s="114"/>
      <c r="N43" s="375"/>
      <c r="O43" s="1"/>
      <c r="P43" s="1"/>
    </row>
    <row r="44" spans="2:16" ht="24.6">
      <c r="B44" s="444" t="s">
        <v>322</v>
      </c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</row>
    <row r="45" spans="2:16" ht="16.2" thickBot="1">
      <c r="B45" s="4"/>
      <c r="C45" s="4"/>
      <c r="D45" s="1"/>
      <c r="E45" s="4"/>
      <c r="F45" s="4"/>
      <c r="G45" s="4"/>
      <c r="H45" s="4"/>
      <c r="I45" s="4"/>
      <c r="J45" s="1"/>
      <c r="K45" s="1"/>
      <c r="L45" s="1"/>
      <c r="M45" s="1"/>
      <c r="N45" s="1"/>
      <c r="O45" s="1"/>
      <c r="P45" s="1"/>
    </row>
    <row r="46" spans="2:16" ht="16.2" thickBot="1">
      <c r="B46" s="378" t="s">
        <v>323</v>
      </c>
      <c r="C46" s="379"/>
      <c r="D46" s="379"/>
      <c r="E46" s="379"/>
      <c r="F46" s="379"/>
      <c r="G46" s="379"/>
      <c r="H46" s="380"/>
      <c r="I46" s="4"/>
      <c r="J46" s="378" t="s">
        <v>324</v>
      </c>
      <c r="K46" s="423"/>
      <c r="L46" s="423"/>
      <c r="M46" s="423"/>
      <c r="N46" s="423"/>
      <c r="O46" s="423"/>
      <c r="P46" s="424"/>
    </row>
    <row r="47" spans="2:16" ht="15.6">
      <c r="B47" s="425"/>
      <c r="C47" s="102"/>
      <c r="D47" s="136"/>
      <c r="E47" s="102"/>
      <c r="F47" s="102"/>
      <c r="G47" s="102"/>
      <c r="H47" s="366"/>
      <c r="I47" s="4"/>
      <c r="J47" s="99"/>
      <c r="K47" s="1"/>
      <c r="L47" s="1"/>
      <c r="M47" s="1"/>
      <c r="N47" s="1"/>
      <c r="O47" s="1"/>
      <c r="P47" s="100"/>
    </row>
    <row r="48" spans="2:16" ht="15.6">
      <c r="B48" s="445"/>
      <c r="C48" s="446"/>
      <c r="D48" s="447"/>
      <c r="E48" s="4"/>
      <c r="F48" s="4"/>
      <c r="G48" s="4"/>
      <c r="H48" s="148"/>
      <c r="I48" s="4"/>
      <c r="J48" s="329" t="s">
        <v>285</v>
      </c>
      <c r="K48" s="330"/>
      <c r="L48" s="448"/>
      <c r="M48" s="449"/>
      <c r="N48" s="449"/>
      <c r="O48" s="449"/>
      <c r="P48" s="450"/>
    </row>
    <row r="49" spans="2:16" ht="15.6">
      <c r="B49" s="451" t="s">
        <v>288</v>
      </c>
      <c r="C49" s="452">
        <v>1.7500000000000002E-2</v>
      </c>
      <c r="D49" s="115" t="s">
        <v>289</v>
      </c>
      <c r="E49" s="453"/>
      <c r="F49" s="453"/>
      <c r="G49" s="453"/>
      <c r="H49" s="454"/>
      <c r="I49" s="4"/>
      <c r="J49" s="455" t="s">
        <v>287</v>
      </c>
      <c r="K49" s="456">
        <v>440</v>
      </c>
      <c r="L49" s="449"/>
      <c r="M49" s="449"/>
      <c r="N49" s="449"/>
      <c r="O49" s="449"/>
      <c r="P49" s="450"/>
    </row>
    <row r="50" spans="2:16" ht="15.6">
      <c r="B50" s="451" t="s">
        <v>325</v>
      </c>
      <c r="C50" s="457">
        <v>5100</v>
      </c>
      <c r="D50" s="115"/>
      <c r="E50" s="453"/>
      <c r="F50" s="453"/>
      <c r="G50" s="453"/>
      <c r="H50" s="454"/>
      <c r="I50" s="4"/>
      <c r="J50" s="455" t="s">
        <v>288</v>
      </c>
      <c r="K50" s="458">
        <v>6.0000000000000001E-3</v>
      </c>
      <c r="L50" s="449" t="s">
        <v>305</v>
      </c>
      <c r="M50" s="449"/>
      <c r="N50" s="449"/>
      <c r="O50" s="449"/>
      <c r="P50" s="450"/>
    </row>
    <row r="51" spans="2:16" ht="15.6">
      <c r="B51" s="451" t="s">
        <v>326</v>
      </c>
      <c r="C51" s="459">
        <v>360</v>
      </c>
      <c r="D51" s="115"/>
      <c r="E51" s="460"/>
      <c r="F51" s="460"/>
      <c r="G51" s="460"/>
      <c r="H51" s="454"/>
      <c r="I51" s="4"/>
      <c r="J51" s="451" t="s">
        <v>326</v>
      </c>
      <c r="K51" s="431">
        <v>90</v>
      </c>
      <c r="L51" s="449"/>
      <c r="M51" s="449"/>
      <c r="N51" s="449"/>
      <c r="O51" s="449"/>
      <c r="P51" s="450"/>
    </row>
    <row r="52" spans="2:16" ht="15.6">
      <c r="B52" s="451" t="s">
        <v>327</v>
      </c>
      <c r="C52" s="459">
        <v>30</v>
      </c>
      <c r="D52" s="115"/>
      <c r="H52" s="461"/>
      <c r="I52" s="4"/>
      <c r="J52" s="451" t="s">
        <v>327</v>
      </c>
      <c r="K52" s="462">
        <v>30</v>
      </c>
      <c r="L52" s="449"/>
      <c r="M52" s="449"/>
      <c r="N52" s="449"/>
      <c r="O52" s="449"/>
      <c r="P52" s="450"/>
    </row>
    <row r="53" spans="2:16" ht="15.6">
      <c r="B53" s="463"/>
      <c r="C53" s="464"/>
      <c r="D53" s="115"/>
      <c r="E53" s="465"/>
      <c r="F53" s="465"/>
      <c r="G53" s="465"/>
      <c r="H53" s="454"/>
      <c r="I53" s="4"/>
      <c r="J53" s="466"/>
      <c r="K53" s="449"/>
      <c r="L53" s="449"/>
      <c r="M53" s="449"/>
      <c r="N53" s="449"/>
      <c r="O53" s="449"/>
      <c r="P53" s="450"/>
    </row>
    <row r="54" spans="2:16" ht="15.6">
      <c r="B54" s="467"/>
      <c r="C54" s="115"/>
      <c r="D54" s="115"/>
      <c r="E54" s="468">
        <f>C49</f>
        <v>1.7500000000000002E-2</v>
      </c>
      <c r="F54" s="115"/>
      <c r="G54" s="115"/>
      <c r="H54" s="454"/>
      <c r="I54" s="4"/>
      <c r="J54" s="466"/>
      <c r="K54" s="449"/>
      <c r="L54" s="449"/>
      <c r="M54" s="449">
        <f>M56</f>
        <v>6.0000000000000001E-3</v>
      </c>
      <c r="N54" s="449"/>
      <c r="O54" s="449"/>
      <c r="P54" s="450"/>
    </row>
    <row r="55" spans="2:16" ht="16.2" thickBot="1">
      <c r="B55" s="469" t="s">
        <v>328</v>
      </c>
      <c r="C55" s="115" t="s">
        <v>325</v>
      </c>
      <c r="D55" s="115" t="s">
        <v>300</v>
      </c>
      <c r="E55" s="115" t="s">
        <v>301</v>
      </c>
      <c r="F55" s="115" t="s">
        <v>329</v>
      </c>
      <c r="G55" s="115" t="s">
        <v>330</v>
      </c>
      <c r="H55" s="454"/>
      <c r="I55" s="4"/>
      <c r="J55" s="470" t="s">
        <v>331</v>
      </c>
      <c r="K55" s="449" t="s">
        <v>332</v>
      </c>
      <c r="L55" s="449" t="s">
        <v>333</v>
      </c>
      <c r="M55" s="449" t="s">
        <v>301</v>
      </c>
      <c r="N55" s="449" t="s">
        <v>334</v>
      </c>
      <c r="O55" s="449" t="s">
        <v>335</v>
      </c>
      <c r="P55" s="471" t="s">
        <v>336</v>
      </c>
    </row>
    <row r="56" spans="2:16" ht="16.2" thickBot="1">
      <c r="B56" s="472">
        <f>C56*((D56+E56)^(F56/G56))</f>
        <v>6280.3405062184411</v>
      </c>
      <c r="C56" s="155">
        <f>C50</f>
        <v>5100</v>
      </c>
      <c r="D56" s="473">
        <v>1</v>
      </c>
      <c r="E56" s="474">
        <f>C49</f>
        <v>1.7500000000000002E-2</v>
      </c>
      <c r="F56" s="155">
        <f>C51</f>
        <v>360</v>
      </c>
      <c r="G56" s="155">
        <f>C52</f>
        <v>30</v>
      </c>
      <c r="H56" s="475"/>
      <c r="I56" s="1"/>
      <c r="J56" s="476">
        <f>K56/((L56+M56)^(N56/O56)-P56)</f>
        <v>432.1740980823202</v>
      </c>
      <c r="K56" s="412">
        <f>K49</f>
        <v>440</v>
      </c>
      <c r="L56" s="477">
        <v>1</v>
      </c>
      <c r="M56" s="478">
        <f>K50</f>
        <v>6.0000000000000001E-3</v>
      </c>
      <c r="N56" s="412">
        <f>K51</f>
        <v>90</v>
      </c>
      <c r="O56" s="156">
        <f>K52</f>
        <v>30</v>
      </c>
      <c r="P56" s="479">
        <v>0</v>
      </c>
    </row>
    <row r="57" spans="2:16" ht="16.2" thickBot="1">
      <c r="B57" s="159"/>
      <c r="C57" s="160"/>
      <c r="D57" s="161"/>
      <c r="E57" s="162"/>
      <c r="F57" s="160"/>
      <c r="G57" s="160"/>
      <c r="H57" s="422"/>
      <c r="I57" s="1"/>
      <c r="J57" s="441"/>
      <c r="K57" s="160"/>
      <c r="L57" s="160"/>
      <c r="M57" s="161"/>
      <c r="N57" s="160"/>
      <c r="O57" s="222"/>
      <c r="P57" s="422"/>
    </row>
    <row r="58" spans="2:16" ht="15" thickBot="1">
      <c r="D58" s="75"/>
    </row>
    <row r="59" spans="2:16" ht="16.2" thickBot="1">
      <c r="B59" s="378" t="s">
        <v>337</v>
      </c>
      <c r="C59" s="379"/>
      <c r="D59" s="379"/>
      <c r="E59" s="379"/>
      <c r="F59" s="379"/>
      <c r="G59" s="379"/>
      <c r="H59" s="380"/>
      <c r="I59" s="4"/>
      <c r="J59" s="378" t="s">
        <v>338</v>
      </c>
      <c r="K59" s="423"/>
      <c r="L59" s="423"/>
      <c r="M59" s="423"/>
      <c r="N59" s="423"/>
      <c r="O59" s="423"/>
      <c r="P59" s="424"/>
    </row>
    <row r="60" spans="2:16" ht="15.6">
      <c r="B60" s="425"/>
      <c r="C60" s="102"/>
      <c r="D60" s="136"/>
      <c r="E60" s="102"/>
      <c r="F60" s="102"/>
      <c r="G60" s="102"/>
      <c r="H60" s="366"/>
      <c r="I60" s="4"/>
      <c r="J60" s="99"/>
      <c r="K60" s="1"/>
      <c r="L60" s="1"/>
      <c r="M60" s="1"/>
      <c r="N60" s="1"/>
      <c r="O60" s="1"/>
      <c r="P60" s="100"/>
    </row>
    <row r="61" spans="2:16" ht="15.6">
      <c r="B61" s="329" t="s">
        <v>285</v>
      </c>
      <c r="C61" s="330"/>
      <c r="D61" s="138"/>
      <c r="E61" s="4"/>
      <c r="F61" s="4"/>
      <c r="G61" s="4"/>
      <c r="H61" s="148"/>
      <c r="I61" s="4"/>
      <c r="J61" s="329" t="s">
        <v>285</v>
      </c>
      <c r="K61" s="330"/>
      <c r="L61" s="448"/>
      <c r="M61" s="449"/>
      <c r="N61" s="449"/>
      <c r="O61" s="449"/>
      <c r="P61" s="450"/>
    </row>
    <row r="62" spans="2:16" ht="15.6">
      <c r="B62" s="451" t="s">
        <v>287</v>
      </c>
      <c r="C62" s="480">
        <v>14750</v>
      </c>
      <c r="D62" s="115"/>
      <c r="E62" s="453"/>
      <c r="F62" s="453"/>
      <c r="G62" s="453"/>
      <c r="H62" s="454"/>
      <c r="I62" s="4"/>
      <c r="J62" s="455" t="s">
        <v>287</v>
      </c>
      <c r="K62" s="456">
        <v>5450</v>
      </c>
      <c r="L62" s="449"/>
      <c r="M62" s="449"/>
      <c r="N62" s="449"/>
      <c r="O62" s="449"/>
      <c r="P62" s="450"/>
    </row>
    <row r="63" spans="2:16" ht="15.6">
      <c r="B63" s="451" t="s">
        <v>290</v>
      </c>
      <c r="C63" s="480">
        <v>1350</v>
      </c>
      <c r="D63" s="115"/>
      <c r="E63" s="453"/>
      <c r="F63" s="453"/>
      <c r="G63" s="453"/>
      <c r="H63" s="454"/>
      <c r="I63" s="4"/>
      <c r="J63" s="455" t="s">
        <v>290</v>
      </c>
      <c r="K63" s="399">
        <v>5000</v>
      </c>
      <c r="L63" s="449"/>
      <c r="M63" s="449"/>
      <c r="N63" s="449"/>
      <c r="O63" s="449"/>
      <c r="P63" s="450"/>
    </row>
    <row r="64" spans="2:16" ht="15.6">
      <c r="B64" s="451" t="s">
        <v>288</v>
      </c>
      <c r="C64" s="481">
        <v>0.04</v>
      </c>
      <c r="D64" s="155" t="s">
        <v>139</v>
      </c>
      <c r="E64" s="460"/>
      <c r="F64" s="460"/>
      <c r="G64" s="460"/>
      <c r="H64" s="454"/>
      <c r="I64" s="4"/>
      <c r="J64" s="451" t="s">
        <v>326</v>
      </c>
      <c r="K64" s="431">
        <v>180</v>
      </c>
      <c r="L64" s="449"/>
      <c r="M64" s="449"/>
      <c r="N64" s="449"/>
      <c r="O64" s="449"/>
      <c r="P64" s="450"/>
    </row>
    <row r="65" spans="2:16" ht="15.6">
      <c r="B65" s="451" t="s">
        <v>339</v>
      </c>
      <c r="C65" s="459">
        <v>180</v>
      </c>
      <c r="D65" s="115"/>
      <c r="E65" s="465"/>
      <c r="F65" s="465"/>
      <c r="G65" s="465"/>
      <c r="H65" s="461"/>
      <c r="I65" s="4"/>
      <c r="J65" s="451" t="s">
        <v>327</v>
      </c>
      <c r="K65" s="462">
        <v>360</v>
      </c>
      <c r="L65" s="449"/>
      <c r="M65" s="482" t="s">
        <v>340</v>
      </c>
      <c r="N65" s="482"/>
      <c r="O65" s="483" t="s">
        <v>289</v>
      </c>
      <c r="P65" s="450"/>
    </row>
    <row r="66" spans="2:16" ht="15.6">
      <c r="B66" s="463"/>
      <c r="C66" s="464"/>
      <c r="D66" s="115"/>
      <c r="E66" s="453"/>
      <c r="F66" s="453"/>
      <c r="G66" s="453"/>
      <c r="H66" s="454"/>
      <c r="I66" s="4"/>
      <c r="J66" s="466"/>
      <c r="K66" s="449"/>
      <c r="L66" s="449"/>
      <c r="M66" s="449"/>
      <c r="N66" s="449"/>
      <c r="O66" s="449"/>
      <c r="P66" s="450"/>
    </row>
    <row r="67" spans="2:16" ht="15.6">
      <c r="B67" s="467"/>
      <c r="C67" s="115"/>
      <c r="D67" s="115"/>
      <c r="E67" s="115"/>
      <c r="F67" s="468">
        <f>F69</f>
        <v>0.04</v>
      </c>
      <c r="G67" s="115"/>
      <c r="H67" s="475"/>
      <c r="I67" s="4"/>
      <c r="J67" s="484">
        <f>J69</f>
        <v>0.18810000000000016</v>
      </c>
      <c r="K67" s="449"/>
      <c r="L67" s="449"/>
      <c r="M67" s="449"/>
      <c r="N67" s="449"/>
      <c r="O67" s="449"/>
      <c r="P67" s="450"/>
    </row>
    <row r="68" spans="2:16" ht="15.6">
      <c r="B68" s="469" t="s">
        <v>341</v>
      </c>
      <c r="C68" s="115" t="s">
        <v>342</v>
      </c>
      <c r="D68" s="115" t="s">
        <v>343</v>
      </c>
      <c r="E68" s="115" t="s">
        <v>344</v>
      </c>
      <c r="F68" s="115" t="s">
        <v>345</v>
      </c>
      <c r="G68" s="115" t="s">
        <v>339</v>
      </c>
      <c r="H68" s="454"/>
      <c r="I68" s="4"/>
      <c r="J68" s="470" t="s">
        <v>314</v>
      </c>
      <c r="K68" s="449" t="s">
        <v>296</v>
      </c>
      <c r="L68" s="449" t="s">
        <v>297</v>
      </c>
      <c r="M68" s="449" t="s">
        <v>346</v>
      </c>
      <c r="N68" s="449" t="s">
        <v>347</v>
      </c>
      <c r="O68" s="115">
        <v>-1</v>
      </c>
      <c r="P68" s="450"/>
    </row>
    <row r="69" spans="2:16" ht="15.6">
      <c r="B69" s="485">
        <f>(LN(C69/D69)/LN(E69+F69))*G69</f>
        <v>10973.91897435142</v>
      </c>
      <c r="C69" s="154">
        <f>C62</f>
        <v>14750</v>
      </c>
      <c r="D69" s="486">
        <f>C63</f>
        <v>1350</v>
      </c>
      <c r="E69" s="477">
        <v>1</v>
      </c>
      <c r="F69" s="487">
        <f>C64</f>
        <v>0.04</v>
      </c>
      <c r="G69" s="477">
        <f>C65</f>
        <v>180</v>
      </c>
      <c r="H69" s="475"/>
      <c r="I69" s="1"/>
      <c r="J69" s="488">
        <f>((K69/L69)^(M69/N69))-O69</f>
        <v>0.18810000000000016</v>
      </c>
      <c r="K69" s="412">
        <f>K62</f>
        <v>5450</v>
      </c>
      <c r="L69" s="412">
        <f>K63</f>
        <v>5000</v>
      </c>
      <c r="M69" s="412">
        <f>K65</f>
        <v>360</v>
      </c>
      <c r="N69" s="412">
        <f>K64</f>
        <v>180</v>
      </c>
      <c r="O69" s="156">
        <v>1</v>
      </c>
      <c r="P69" s="475"/>
    </row>
    <row r="70" spans="2:16" ht="15.6">
      <c r="B70" s="489"/>
      <c r="D70" s="75"/>
      <c r="H70" s="490"/>
      <c r="J70" s="489"/>
      <c r="L70" s="75"/>
    </row>
    <row r="71" spans="2:16" ht="15.6">
      <c r="B71" s="489"/>
      <c r="C71" s="155"/>
      <c r="D71" s="491"/>
      <c r="E71" s="477"/>
      <c r="F71" s="487"/>
      <c r="G71" s="477"/>
      <c r="H71" s="475"/>
      <c r="I71" s="1"/>
      <c r="J71" s="489"/>
      <c r="K71" s="155"/>
      <c r="L71" s="491"/>
      <c r="M71" s="477"/>
      <c r="N71" s="487"/>
      <c r="O71" s="477"/>
      <c r="P71" s="475"/>
    </row>
    <row r="72" spans="2:16" ht="16.2" thickBot="1">
      <c r="B72" s="159"/>
      <c r="C72" s="160"/>
      <c r="D72" s="161"/>
      <c r="E72" s="162"/>
      <c r="F72" s="160"/>
      <c r="G72" s="160"/>
      <c r="H72" s="422"/>
      <c r="I72" s="1"/>
      <c r="J72" s="159"/>
      <c r="K72" s="160"/>
      <c r="L72" s="161"/>
      <c r="M72" s="162"/>
      <c r="N72" s="160"/>
      <c r="O72" s="160"/>
      <c r="P72" s="422"/>
    </row>
  </sheetData>
  <mergeCells count="29">
    <mergeCell ref="E64:G64"/>
    <mergeCell ref="E65:G65"/>
    <mergeCell ref="M65:N65"/>
    <mergeCell ref="E51:G51"/>
    <mergeCell ref="E53:G53"/>
    <mergeCell ref="B59:H59"/>
    <mergeCell ref="J59:P59"/>
    <mergeCell ref="B61:C61"/>
    <mergeCell ref="J61:K61"/>
    <mergeCell ref="E37:G37"/>
    <mergeCell ref="M37:N37"/>
    <mergeCell ref="B44:P44"/>
    <mergeCell ref="B46:H46"/>
    <mergeCell ref="J46:P46"/>
    <mergeCell ref="B48:C48"/>
    <mergeCell ref="J48:K48"/>
    <mergeCell ref="M23:N23"/>
    <mergeCell ref="B31:H31"/>
    <mergeCell ref="J31:P31"/>
    <mergeCell ref="B33:C33"/>
    <mergeCell ref="J33:K33"/>
    <mergeCell ref="E36:G36"/>
    <mergeCell ref="B2:H2"/>
    <mergeCell ref="B4:C4"/>
    <mergeCell ref="B16:P16"/>
    <mergeCell ref="B18:H18"/>
    <mergeCell ref="J18:P18"/>
    <mergeCell ref="B20:C20"/>
    <mergeCell ref="J20:K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VAN - TIR - BC -PRD</vt:lpstr>
      <vt:lpstr>VAC - CAUE - MCM - CC</vt:lpstr>
      <vt:lpstr>ACCIONES</vt:lpstr>
      <vt:lpstr>BONOS -AMERICANO</vt:lpstr>
      <vt:lpstr>BONOS - ALEMAN</vt:lpstr>
      <vt:lpstr>BANOS - FRANCES</vt:lpstr>
      <vt:lpstr>WACC</vt:lpstr>
      <vt:lpstr>CONVERSIONES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Saldaña</dc:creator>
  <cp:lastModifiedBy>u20201b510 (Saldaña Vela, Janover Gonzalo)</cp:lastModifiedBy>
  <dcterms:created xsi:type="dcterms:W3CDTF">2015-06-05T18:19:34Z</dcterms:created>
  <dcterms:modified xsi:type="dcterms:W3CDTF">2024-07-05T16:29:32Z</dcterms:modified>
</cp:coreProperties>
</file>