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ov\Desktop\"/>
    </mc:Choice>
  </mc:AlternateContent>
  <xr:revisionPtr revIDLastSave="0" documentId="13_ncr:1_{ED9DB8FE-4D0C-4263-BE03-B54392A611B9}" xr6:coauthVersionLast="47" xr6:coauthVersionMax="47" xr10:uidLastSave="{00000000-0000-0000-0000-000000000000}"/>
  <bookViews>
    <workbookView xWindow="28680" yWindow="-120" windowWidth="29040" windowHeight="15720" firstSheet="2" activeTab="3" xr2:uid="{9D600AEC-1F2A-49C4-A349-F43C595F454F}"/>
  </bookViews>
  <sheets>
    <sheet name="Hoja1" sheetId="1" r:id="rId1"/>
    <sheet name="Interés Simple" sheetId="2" r:id="rId2"/>
    <sheet name="Interés Nominal Compuesta(TN)" sheetId="3" r:id="rId3"/>
    <sheet name="Interés Efectiva(TEP)" sheetId="4" r:id="rId4"/>
    <sheet name="Tasa Descontada" sheetId="5" r:id="rId5"/>
    <sheet name="OTROS" sheetId="7" r:id="rId6"/>
    <sheet name="Teoria de Rentas" sheetId="6" r:id="rId7"/>
  </sheets>
  <definedNames>
    <definedName name="_xlnm._FilterDatabase" localSheetId="5" hidden="1">OTROS!$C$3:$C$15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6" l="1"/>
  <c r="J13" i="5"/>
  <c r="B13" i="5"/>
  <c r="K107" i="5"/>
  <c r="K108" i="5"/>
  <c r="K109" i="5"/>
  <c r="S80" i="5"/>
  <c r="J55" i="5"/>
  <c r="K34" i="5"/>
  <c r="K62" i="5"/>
  <c r="K50" i="5"/>
  <c r="S35" i="5"/>
  <c r="M55" i="5"/>
  <c r="U51" i="6"/>
  <c r="O49" i="6"/>
  <c r="N50" i="6"/>
  <c r="N49" i="6"/>
  <c r="T34" i="4"/>
  <c r="T35" i="4"/>
  <c r="T36" i="4"/>
  <c r="T37" i="4"/>
  <c r="T33" i="4"/>
  <c r="R25" i="5"/>
  <c r="O129" i="5"/>
  <c r="N129" i="5"/>
  <c r="K114" i="5"/>
  <c r="K110" i="5"/>
  <c r="O114" i="5"/>
  <c r="AA82" i="5"/>
  <c r="L114" i="5"/>
  <c r="S84" i="5"/>
  <c r="U84" i="5"/>
  <c r="V84" i="5"/>
  <c r="W84" i="5"/>
  <c r="R84" i="5"/>
  <c r="M114" i="5"/>
  <c r="K99" i="5"/>
  <c r="M99" i="5"/>
  <c r="N99" i="5"/>
  <c r="O99" i="5"/>
  <c r="J99" i="5"/>
  <c r="N114" i="5"/>
  <c r="J114" i="5"/>
  <c r="K122" i="5"/>
  <c r="K129" i="5"/>
  <c r="O113" i="5"/>
  <c r="N113" i="5"/>
  <c r="M113" i="5"/>
  <c r="L113" i="5"/>
  <c r="K113" i="5"/>
  <c r="S54" i="5"/>
  <c r="K41" i="5"/>
  <c r="K55" i="5"/>
  <c r="K49" i="5"/>
  <c r="L55" i="5"/>
  <c r="J53" i="5"/>
  <c r="E27" i="5"/>
  <c r="C27" i="5"/>
  <c r="B27" i="5"/>
  <c r="B25" i="5"/>
  <c r="G10" i="7"/>
  <c r="J10" i="7"/>
  <c r="G11" i="7"/>
  <c r="J9" i="7"/>
  <c r="G9" i="7"/>
  <c r="H6" i="7"/>
  <c r="H7" i="7"/>
  <c r="H8" i="7"/>
  <c r="H5" i="7"/>
  <c r="H4" i="7"/>
  <c r="J7" i="7"/>
  <c r="J6" i="7"/>
  <c r="J5" i="7"/>
  <c r="J4" i="7"/>
  <c r="D4" i="7"/>
  <c r="D5" i="7"/>
  <c r="D6" i="7"/>
  <c r="D7" i="7"/>
  <c r="D8" i="7"/>
  <c r="D9" i="7"/>
  <c r="D10" i="7"/>
  <c r="H48" i="6"/>
  <c r="E44" i="6"/>
  <c r="H44" i="6"/>
  <c r="F44" i="6"/>
  <c r="C44" i="6"/>
  <c r="C42" i="4"/>
  <c r="E42" i="4"/>
  <c r="G42" i="4"/>
  <c r="H28" i="6"/>
  <c r="J28" i="6"/>
  <c r="F28" i="6"/>
  <c r="K28" i="6"/>
  <c r="C28" i="6"/>
  <c r="B28" i="6"/>
  <c r="B31" i="6" s="1"/>
  <c r="O28" i="6"/>
  <c r="S28" i="6"/>
  <c r="W28" i="6"/>
  <c r="P28" i="6"/>
  <c r="R28" i="6"/>
  <c r="V28" i="6"/>
  <c r="P27" i="7"/>
  <c r="O27" i="7"/>
  <c r="N27" i="7"/>
  <c r="L27" i="7"/>
  <c r="K27" i="7"/>
  <c r="N25" i="7"/>
  <c r="P14" i="6"/>
  <c r="R14" i="6"/>
  <c r="V14" i="6"/>
  <c r="O14" i="6"/>
  <c r="S14" i="6"/>
  <c r="W14" i="6"/>
  <c r="G41" i="7"/>
  <c r="F41" i="7"/>
  <c r="E41" i="7"/>
  <c r="C41" i="7"/>
  <c r="B41" i="7"/>
  <c r="E39" i="7"/>
  <c r="G27" i="7"/>
  <c r="F27" i="7"/>
  <c r="E27" i="7"/>
  <c r="C27" i="7"/>
  <c r="B27" i="7"/>
  <c r="E25" i="7"/>
  <c r="F42" i="4"/>
  <c r="T17" i="1"/>
  <c r="T16" i="1"/>
  <c r="T15" i="1"/>
  <c r="V13" i="1"/>
  <c r="T14" i="1"/>
  <c r="T12" i="1"/>
  <c r="S6" i="1"/>
  <c r="T5" i="1"/>
  <c r="S5" i="1"/>
  <c r="O44" i="6"/>
  <c r="P44" i="6"/>
  <c r="R44" i="6"/>
  <c r="S44" i="6"/>
  <c r="Z27" i="6"/>
  <c r="G14" i="6"/>
  <c r="C14" i="6"/>
  <c r="D14" i="6"/>
  <c r="F14" i="6"/>
  <c r="AI9" i="6"/>
  <c r="M27" i="5"/>
  <c r="K27" i="5"/>
  <c r="N27" i="5"/>
  <c r="O27" i="5"/>
  <c r="J27" i="5"/>
  <c r="C13" i="5"/>
  <c r="D13" i="5"/>
  <c r="W99" i="5"/>
  <c r="V99" i="5"/>
  <c r="U99" i="5"/>
  <c r="S99" i="5"/>
  <c r="R99" i="5"/>
  <c r="S98" i="5"/>
  <c r="K98" i="5"/>
  <c r="S83" i="5"/>
  <c r="N84" i="5"/>
  <c r="K84" i="5"/>
  <c r="M84" i="5"/>
  <c r="O84" i="5"/>
  <c r="J84" i="5"/>
  <c r="K83" i="5"/>
  <c r="K69" i="5"/>
  <c r="N69" i="5"/>
  <c r="L54" i="5"/>
  <c r="M54" i="5"/>
  <c r="M40" i="5"/>
  <c r="L40" i="5"/>
  <c r="B11" i="5"/>
  <c r="C41" i="5"/>
  <c r="C35" i="5"/>
  <c r="D41" i="5"/>
  <c r="B41" i="5"/>
  <c r="J25" i="5"/>
  <c r="M13" i="5"/>
  <c r="K13" i="5"/>
  <c r="J11" i="5"/>
  <c r="G12" i="3"/>
  <c r="F32" i="3"/>
  <c r="D32" i="3"/>
  <c r="D34" i="3"/>
  <c r="N25" i="3"/>
  <c r="J42" i="4"/>
  <c r="C55" i="4"/>
  <c r="D55" i="4"/>
  <c r="F55" i="4"/>
  <c r="G55" i="4"/>
  <c r="K12" i="3"/>
  <c r="L12" i="3"/>
  <c r="N12" i="3"/>
  <c r="O12" i="3"/>
  <c r="B55" i="4"/>
  <c r="C27" i="2"/>
  <c r="K25" i="2"/>
  <c r="K27" i="2"/>
  <c r="D27" i="2"/>
  <c r="D25" i="2"/>
  <c r="L22" i="2"/>
  <c r="F53" i="4"/>
  <c r="M55" i="4"/>
  <c r="N55" i="4"/>
  <c r="L55" i="4"/>
  <c r="O42" i="4"/>
  <c r="N42" i="4"/>
  <c r="M42" i="4"/>
  <c r="M40" i="4"/>
  <c r="K42" i="4"/>
  <c r="E40" i="4"/>
  <c r="K14" i="4"/>
  <c r="N14" i="4"/>
  <c r="D27" i="4"/>
  <c r="L27" i="4"/>
  <c r="N27" i="4"/>
  <c r="M27" i="4"/>
  <c r="D14" i="4"/>
  <c r="C14" i="4"/>
  <c r="D25" i="4"/>
  <c r="E23" i="3"/>
  <c r="N10" i="3"/>
  <c r="E10" i="3"/>
  <c r="F27" i="4"/>
  <c r="E27" i="4"/>
  <c r="L25" i="3"/>
  <c r="M25" i="3"/>
  <c r="K25" i="3"/>
  <c r="C25" i="3"/>
  <c r="G25" i="3"/>
  <c r="F25" i="3"/>
  <c r="E25" i="3"/>
  <c r="F12" i="3"/>
  <c r="E12" i="3"/>
  <c r="B22" i="2"/>
  <c r="N22" i="2"/>
  <c r="K22" i="2"/>
  <c r="J13" i="2"/>
  <c r="N13" i="2"/>
  <c r="L13" i="2"/>
  <c r="K13" i="2"/>
  <c r="E22" i="2"/>
  <c r="F22" i="2"/>
  <c r="C22" i="2"/>
  <c r="E13" i="2"/>
  <c r="F13" i="2"/>
  <c r="C13" i="2"/>
  <c r="B13" i="2"/>
  <c r="C12" i="3"/>
  <c r="B12" i="3"/>
  <c r="A12" i="3"/>
  <c r="J25" i="3"/>
  <c r="J23" i="3"/>
  <c r="J22" i="2"/>
  <c r="J12" i="3"/>
  <c r="M7" i="3"/>
  <c r="B14" i="4"/>
  <c r="B25" i="3"/>
  <c r="M12" i="4"/>
  <c r="M14" i="4"/>
  <c r="K55" i="4"/>
  <c r="J55" i="4"/>
  <c r="J53" i="4"/>
  <c r="H9" i="7"/>
  <c r="B42" i="4"/>
  <c r="A44" i="4"/>
  <c r="S38" i="5"/>
  <c r="K35" i="5"/>
  <c r="L41" i="5"/>
  <c r="M41" i="5"/>
  <c r="J41" i="5"/>
  <c r="K63" i="5"/>
  <c r="L69" i="5"/>
  <c r="J69" i="5"/>
  <c r="J67" i="5"/>
  <c r="K123" i="5"/>
  <c r="L129" i="5"/>
  <c r="J129" i="5"/>
  <c r="J127" i="5"/>
  <c r="J39" i="5"/>
  <c r="J27" i="4" l="1"/>
  <c r="J25" i="4" s="1"/>
  <c r="J14" i="4"/>
  <c r="J12" i="4" s="1"/>
  <c r="B27" i="4"/>
  <c r="B25" i="4" s="1"/>
  <c r="N28" i="6"/>
  <c r="N44" i="6"/>
  <c r="B44" i="6"/>
  <c r="F54" i="6" s="1"/>
  <c r="H54" i="6" s="1"/>
  <c r="N14" i="6"/>
  <c r="B14" i="6"/>
</calcChain>
</file>

<file path=xl/sharedStrings.xml><?xml version="1.0" encoding="utf-8"?>
<sst xmlns="http://schemas.openxmlformats.org/spreadsheetml/2006/main" count="493" uniqueCount="273">
  <si>
    <t>DIA</t>
  </si>
  <si>
    <t>ENE</t>
  </si>
  <si>
    <t>FE</t>
  </si>
  <si>
    <t>MAR</t>
  </si>
  <si>
    <t>ABR</t>
  </si>
  <si>
    <t>MAY</t>
  </si>
  <si>
    <t>JUN</t>
  </si>
  <si>
    <t>JUL</t>
  </si>
  <si>
    <t>AGO</t>
  </si>
  <si>
    <t>SET</t>
  </si>
  <si>
    <t>OCT</t>
  </si>
  <si>
    <t>NOV</t>
  </si>
  <si>
    <t>DIC</t>
  </si>
  <si>
    <t>Calcular Dias Transcurridos</t>
  </si>
  <si>
    <t>Dia de inicio</t>
  </si>
  <si>
    <t>Dia de fin</t>
  </si>
  <si>
    <t>https://books.google.com.pe/books?id=jPTppKDvIv8C&amp;pg=PA21&amp;hl=es&amp;source=gbs_toc_r&amp;cad=1#v=onepage&amp;q&amp;f=false</t>
  </si>
  <si>
    <r>
      <t xml:space="preserve">Stock (Valor Futuro): </t>
    </r>
    <r>
      <rPr>
        <b/>
        <sz val="12"/>
        <color rgb="FFC00000"/>
        <rFont val="Times New Roman"/>
        <family val="1"/>
      </rPr>
      <t>S = C  ( 1 + i . t)</t>
    </r>
  </si>
  <si>
    <t xml:space="preserve">Tiempo transcurrido </t>
  </si>
  <si>
    <t>Capital (C):</t>
  </si>
  <si>
    <t>Monto (S):</t>
  </si>
  <si>
    <t>Interes:</t>
  </si>
  <si>
    <t>Tiempo</t>
  </si>
  <si>
    <t>Interés (I):</t>
  </si>
  <si>
    <t>S =</t>
  </si>
  <si>
    <t>C</t>
  </si>
  <si>
    <t>(1</t>
  </si>
  <si>
    <t>i</t>
  </si>
  <si>
    <t>t)</t>
  </si>
  <si>
    <t xml:space="preserve">t = </t>
  </si>
  <si>
    <t>(S</t>
  </si>
  <si>
    <t>1)</t>
  </si>
  <si>
    <t>(/I)</t>
  </si>
  <si>
    <r>
      <t xml:space="preserve">Capital (Valor Presente): </t>
    </r>
    <r>
      <rPr>
        <b/>
        <sz val="12"/>
        <color rgb="FFC00000"/>
        <rFont val="Times New Roman"/>
        <family val="1"/>
      </rPr>
      <t>C = S ( 1 + i . t )^(-1)</t>
    </r>
  </si>
  <si>
    <t>Tasa de Interés Simple</t>
  </si>
  <si>
    <t>Monto (S)</t>
  </si>
  <si>
    <t>Tiempo (t):</t>
  </si>
  <si>
    <t>anual</t>
  </si>
  <si>
    <t>C =</t>
  </si>
  <si>
    <t>S</t>
  </si>
  <si>
    <t>^(-1)</t>
  </si>
  <si>
    <t>TS =</t>
  </si>
  <si>
    <t>(/t)</t>
  </si>
  <si>
    <t>Valor Futuro (Monto)</t>
  </si>
  <si>
    <t>Capitalización:</t>
  </si>
  <si>
    <t>menusal</t>
  </si>
  <si>
    <t>Mensual</t>
  </si>
  <si>
    <t>TN:</t>
  </si>
  <si>
    <t>cuatrimestral</t>
  </si>
  <si>
    <t>m:</t>
  </si>
  <si>
    <t>n:</t>
  </si>
  <si>
    <t xml:space="preserve">S = </t>
  </si>
  <si>
    <t>(TN</t>
  </si>
  <si>
    <t>m))</t>
  </si>
  <si>
    <t>^n</t>
  </si>
  <si>
    <t>t (tiempo) =</t>
  </si>
  <si>
    <t>(LN(S</t>
  </si>
  <si>
    <t>/C))</t>
  </si>
  <si>
    <t>/(LN(1+</t>
  </si>
  <si>
    <t>/m)</t>
  </si>
  <si>
    <t>Valor Presente (Capital)</t>
  </si>
  <si>
    <t>Tasa de Interés Nominal</t>
  </si>
  <si>
    <t>mensual</t>
  </si>
  <si>
    <t>Diaria</t>
  </si>
  <si>
    <t>150 días</t>
  </si>
  <si>
    <t xml:space="preserve">C = </t>
  </si>
  <si>
    <t>^-n</t>
  </si>
  <si>
    <t xml:space="preserve">TN = </t>
  </si>
  <si>
    <t>m</t>
  </si>
  <si>
    <t>((S</t>
  </si>
  <si>
    <t>/C)</t>
  </si>
  <si>
    <t>^(1/n)</t>
  </si>
  <si>
    <t xml:space="preserve">DONDE: </t>
  </si>
  <si>
    <r>
      <rPr>
        <b/>
        <sz val="12"/>
        <color rgb="FF002060"/>
        <rFont val="Times New Roman"/>
        <family val="1"/>
      </rPr>
      <t>m:</t>
    </r>
    <r>
      <rPr>
        <sz val="12"/>
        <color rgb="FF002060"/>
        <rFont val="Times New Roman"/>
        <family val="1"/>
      </rPr>
      <t xml:space="preserve"> </t>
    </r>
    <r>
      <rPr>
        <i/>
        <sz val="12"/>
        <color rgb="FF002060"/>
        <rFont val="Times New Roman"/>
        <family val="1"/>
      </rPr>
      <t>Número de veces que se repite el periodo de capitalización en la TN</t>
    </r>
    <r>
      <rPr>
        <sz val="12"/>
        <color rgb="FF002060"/>
        <rFont val="Times New Roman"/>
        <family val="1"/>
      </rPr>
      <t xml:space="preserve"> contratada</t>
    </r>
  </si>
  <si>
    <r>
      <rPr>
        <b/>
        <sz val="12"/>
        <color rgb="FF002060"/>
        <rFont val="Times New Roman"/>
        <family val="1"/>
      </rPr>
      <t xml:space="preserve">n: </t>
    </r>
    <r>
      <rPr>
        <i/>
        <sz val="12"/>
        <color rgb="FF002060"/>
        <rFont val="Times New Roman"/>
        <family val="1"/>
      </rPr>
      <t>Número de veces que se repite el periodo de capitalización con respecto al tiempo</t>
    </r>
  </si>
  <si>
    <t>FORMULAS PARA CONVERSIÓN DE TASAS</t>
  </si>
  <si>
    <t>Tasa efectiva del Periodo (TEP)</t>
  </si>
  <si>
    <r>
      <t xml:space="preserve">Convertir Tasas de Interés </t>
    </r>
    <r>
      <rPr>
        <b/>
        <sz val="12"/>
        <color rgb="FF002060"/>
        <rFont val="Times New Roman"/>
        <family val="1"/>
      </rPr>
      <t>Efectivas a Nominales</t>
    </r>
  </si>
  <si>
    <t>Pagina 28 - Tasa de Interés efectiva</t>
  </si>
  <si>
    <t>Capitalización</t>
  </si>
  <si>
    <t>diario</t>
  </si>
  <si>
    <t>TEP</t>
  </si>
  <si>
    <t>n</t>
  </si>
  <si>
    <t>Encontrar Tasa nominal</t>
  </si>
  <si>
    <t>Bimestral</t>
  </si>
  <si>
    <t>(m)</t>
  </si>
  <si>
    <t xml:space="preserve">TEP = </t>
  </si>
  <si>
    <t>((1</t>
  </si>
  <si>
    <t>TEP)</t>
  </si>
  <si>
    <r>
      <t xml:space="preserve">Convertir Tasas de interés </t>
    </r>
    <r>
      <rPr>
        <b/>
        <sz val="12"/>
        <color rgb="FF002060"/>
        <rFont val="Times New Roman"/>
        <family val="1"/>
      </rPr>
      <t>Nominales a Efectivas</t>
    </r>
  </si>
  <si>
    <t>Convertir Tasas Efectivas en otras Efectivas</t>
  </si>
  <si>
    <t>TN</t>
  </si>
  <si>
    <t>TEP_1</t>
  </si>
  <si>
    <t>n_1</t>
  </si>
  <si>
    <t>Encontrar tasa efectiva</t>
  </si>
  <si>
    <t>n_2</t>
  </si>
  <si>
    <t>(n)</t>
  </si>
  <si>
    <t>Cuál sería la TEP_2</t>
  </si>
  <si>
    <t>semestral</t>
  </si>
  <si>
    <t>días</t>
  </si>
  <si>
    <t>TEP =</t>
  </si>
  <si>
    <t>TEP_2 =</t>
  </si>
  <si>
    <t>TEP_1)</t>
  </si>
  <si>
    <t>^(n2</t>
  </si>
  <si>
    <t>/n1)</t>
  </si>
  <si>
    <t>FORMULAS PARA EL INTERÉS EFECTIVO</t>
  </si>
  <si>
    <t>Valor Efectivo Futuro (S)</t>
  </si>
  <si>
    <t>Valor Efectivo Presente (C)</t>
  </si>
  <si>
    <t>N° de diás</t>
  </si>
  <si>
    <t>N° de diás TEP</t>
  </si>
  <si>
    <t>^(N° de diás</t>
  </si>
  <si>
    <t>/N° de días TEP))</t>
  </si>
  <si>
    <t>/((1</t>
  </si>
  <si>
    <t>^(N° de días</t>
  </si>
  <si>
    <t>/N° días TEP))</t>
  </si>
  <si>
    <t>Solo Interes</t>
  </si>
  <si>
    <t>Tiempo transcurrido (n)</t>
  </si>
  <si>
    <t>Tasa de Interés Efectivo</t>
  </si>
  <si>
    <t>N° días TEP</t>
  </si>
  <si>
    <t>Cual es la tasa efectiva del periodo</t>
  </si>
  <si>
    <t>n =</t>
  </si>
  <si>
    <t>/(LN(1</t>
  </si>
  <si>
    <t>TEP))</t>
  </si>
  <si>
    <t>^(N° de días TEP</t>
  </si>
  <si>
    <t>/N° días ))</t>
  </si>
  <si>
    <t>Tasa de Descuento Equivalente</t>
  </si>
  <si>
    <t xml:space="preserve">Tasa Efectiva en el periodo de Descuento  </t>
  </si>
  <si>
    <t>TEP Descuento (i´)</t>
  </si>
  <si>
    <t>Tasa de descuento (d%):</t>
  </si>
  <si>
    <t>Descuento (d%) =</t>
  </si>
  <si>
    <t>i´</t>
  </si>
  <si>
    <t>/i´</t>
  </si>
  <si>
    <t>TEP (i´%) =</t>
  </si>
  <si>
    <t>d%</t>
  </si>
  <si>
    <t>/1</t>
  </si>
  <si>
    <t xml:space="preserve">Valor Neto </t>
  </si>
  <si>
    <t xml:space="preserve">OTR FORMA: Valor Neto </t>
  </si>
  <si>
    <t xml:space="preserve">Valor Nominal: </t>
  </si>
  <si>
    <t>Descuento (d%):</t>
  </si>
  <si>
    <t>TEP:</t>
  </si>
  <si>
    <t>n_TEP</t>
  </si>
  <si>
    <t>Periodo descuento</t>
  </si>
  <si>
    <t>Valor neto</t>
  </si>
  <si>
    <t>Valor Nominal</t>
  </si>
  <si>
    <t>d%)</t>
  </si>
  <si>
    <t>(días a descontar</t>
  </si>
  <si>
    <t>/dias TEP</t>
  </si>
  <si>
    <t>Valor del descuento</t>
  </si>
  <si>
    <t>VALOR RECIBIDO</t>
  </si>
  <si>
    <t>Costes iniciales</t>
  </si>
  <si>
    <t>comision de estudios</t>
  </si>
  <si>
    <t>desgravamen</t>
  </si>
  <si>
    <t>Valor nominal</t>
  </si>
  <si>
    <t>copias</t>
  </si>
  <si>
    <t>Tasa de descuento (d%)</t>
  </si>
  <si>
    <t>Suma Costes Inicial</t>
  </si>
  <si>
    <t>retención</t>
  </si>
  <si>
    <t>Retención</t>
  </si>
  <si>
    <t>Valor Descuento =</t>
  </si>
  <si>
    <t>Valor recibido =</t>
  </si>
  <si>
    <t>VALOR ENTREGADO</t>
  </si>
  <si>
    <t>Costes Finales</t>
  </si>
  <si>
    <t>Gastos administrativos</t>
  </si>
  <si>
    <t>Portes</t>
  </si>
  <si>
    <t>ValorNominal</t>
  </si>
  <si>
    <t>Suma Costes Finales</t>
  </si>
  <si>
    <t>G Admin</t>
  </si>
  <si>
    <t>NO VA PROTESTO</t>
  </si>
  <si>
    <t>Tasa de Costo Efectivo Anual (TCEA)</t>
  </si>
  <si>
    <t>Valor entregado</t>
  </si>
  <si>
    <t>Valor recibido</t>
  </si>
  <si>
    <t>Tiempo descuento (td)</t>
  </si>
  <si>
    <t>TCEA=</t>
  </si>
  <si>
    <t>(Valor entregado</t>
  </si>
  <si>
    <t>/Valor recibido)</t>
  </si>
  <si>
    <t>(360/</t>
  </si>
  <si>
    <t>td)</t>
  </si>
  <si>
    <t>INTERES COMPENSATORIO</t>
  </si>
  <si>
    <t>Intereses compensatorios de una TASA EFECTIVA</t>
  </si>
  <si>
    <t>Intereses compensatorios de una TASA NOMINAL</t>
  </si>
  <si>
    <t>Suma costes finales con MORA</t>
  </si>
  <si>
    <t>Gastos Administrativos</t>
  </si>
  <si>
    <t>Protesto</t>
  </si>
  <si>
    <t>Tasa Nominal (TN):</t>
  </si>
  <si>
    <t>Cominisión por pago tardio Mora</t>
  </si>
  <si>
    <t>t_mora (tm):</t>
  </si>
  <si>
    <t>Tiempo mora (n):</t>
  </si>
  <si>
    <t>Tomar en cuenta la capitalización</t>
  </si>
  <si>
    <t>Ic=</t>
  </si>
  <si>
    <t>[(1</t>
  </si>
  <si>
    <t>(tm</t>
  </si>
  <si>
    <t>1]</t>
  </si>
  <si>
    <t>INTERES MORATORIO</t>
  </si>
  <si>
    <t>Intereses Moratorio de una TASA EFECTIVA</t>
  </si>
  <si>
    <t>Intereses Moratorio de una TASA NOMINAL</t>
  </si>
  <si>
    <t>TEPmora:</t>
  </si>
  <si>
    <t>Tasa Nominal Mora (TNPm):</t>
  </si>
  <si>
    <t>TEP_n1</t>
  </si>
  <si>
    <t>t_descuento (td):</t>
  </si>
  <si>
    <t>VENCIMIENTO BANCO</t>
  </si>
  <si>
    <t>Im=</t>
  </si>
  <si>
    <t>(td</t>
  </si>
  <si>
    <t>(TNm</t>
  </si>
  <si>
    <t>^nm</t>
  </si>
  <si>
    <t>Valor entregado con MORA</t>
  </si>
  <si>
    <t>Suma de costes finales</t>
  </si>
  <si>
    <t>Icomp</t>
  </si>
  <si>
    <t>Imora</t>
  </si>
  <si>
    <t>TECAm</t>
  </si>
  <si>
    <t>Tasa de Costo Efectivo Anual con MORA (TCEA)</t>
  </si>
  <si>
    <t>Valor entregado MORA</t>
  </si>
  <si>
    <t>Tiempo de mora</t>
  </si>
  <si>
    <t>(Valor entregado mora</t>
  </si>
  <si>
    <t>/((Valor recibido)</t>
  </si>
  <si>
    <t>tm))</t>
  </si>
  <si>
    <t>DEUDAS</t>
  </si>
  <si>
    <t>Anualidad Simple Vencida (con el MONTO)</t>
  </si>
  <si>
    <t>Anualidad Simple Vencida (Con el CAPITAL)</t>
  </si>
  <si>
    <t>Monto (S) :</t>
  </si>
  <si>
    <t>TEP (i´):</t>
  </si>
  <si>
    <t>TEP(i):</t>
  </si>
  <si>
    <t>tiempo (n):</t>
  </si>
  <si>
    <t>Tiempo (n):</t>
  </si>
  <si>
    <t>Renta Vencida (R)  =</t>
  </si>
  <si>
    <t>((i</t>
  </si>
  <si>
    <t>/(((1</t>
  </si>
  <si>
    <t>)^n)</t>
  </si>
  <si>
    <t>1)))</t>
  </si>
  <si>
    <t>Renta vencida (R) =</t>
  </si>
  <si>
    <t>Capital</t>
  </si>
  <si>
    <t>(i</t>
  </si>
  <si>
    <t>i)</t>
  </si>
  <si>
    <t>^n)</t>
  </si>
  <si>
    <t>/</t>
  </si>
  <si>
    <t>Anualidad Simple ADELANTADA (Con el CAPITAL)</t>
  </si>
  <si>
    <t>Renta (R):</t>
  </si>
  <si>
    <t>PRE-PAGAR (S)  =</t>
  </si>
  <si>
    <t>R</t>
  </si>
  <si>
    <t>(((1</t>
  </si>
  <si>
    <t xml:space="preserve">i´) </t>
  </si>
  <si>
    <t>1))</t>
  </si>
  <si>
    <t>/((i´</t>
  </si>
  <si>
    <t>^n))</t>
  </si>
  <si>
    <t>(((i</t>
  </si>
  <si>
    <t>^(n</t>
  </si>
  <si>
    <t>/(1</t>
  </si>
  <si>
    <t>AHORROS</t>
  </si>
  <si>
    <t>Monto al ahorrar en el banco</t>
  </si>
  <si>
    <t xml:space="preserve">Renta a pagar </t>
  </si>
  <si>
    <t>Renta:</t>
  </si>
  <si>
    <t>S:</t>
  </si>
  <si>
    <t>S  =</t>
  </si>
  <si>
    <t>((((1</t>
  </si>
  <si>
    <t>i´)</t>
  </si>
  <si>
    <t>/i´)</t>
  </si>
  <si>
    <t>R =</t>
  </si>
  <si>
    <t>((TEP)</t>
  </si>
  <si>
    <t>18573.42*(1+0.367480940043685%)^30</t>
  </si>
  <si>
    <t>HITO</t>
  </si>
  <si>
    <t>FECHA</t>
  </si>
  <si>
    <t>Tipo de tasa</t>
  </si>
  <si>
    <t>INTERÉS APLICADO</t>
  </si>
  <si>
    <t>N° días</t>
  </si>
  <si>
    <t>DEPÓSITOS</t>
  </si>
  <si>
    <t>Monto acumulado</t>
  </si>
  <si>
    <t>TES</t>
  </si>
  <si>
    <t>TNM</t>
  </si>
  <si>
    <t>Valor Efectivo Futuro TASA EFECTIVA (S)</t>
  </si>
  <si>
    <t>Valor Futuro con TASA NOMINAL (Monto)</t>
  </si>
  <si>
    <t>diaria</t>
  </si>
  <si>
    <t>Cuatrimestral</t>
  </si>
  <si>
    <t>SEMESTRAL</t>
  </si>
  <si>
    <t xml:space="preserve">Anualidades PRE PAGAR DEUDA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</si>
</sst>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3" formatCode="_-* #,##0.00_-;\-* #,##0.00_-;_-* &quot;-&quot;??_-;_-@_-"/>
    <numFmt numFmtId="164" formatCode="0.0000000"/>
    <numFmt numFmtId="165" formatCode="0.0"/>
    <numFmt numFmtId="166" formatCode="0.000"/>
    <numFmt numFmtId="167" formatCode="0.0000"/>
    <numFmt numFmtId="168" formatCode="0.00000000"/>
    <numFmt numFmtId="169" formatCode="0.000000000"/>
    <numFmt numFmtId="170" formatCode="0.00000"/>
    <numFmt numFmtId="171" formatCode="0.0000%"/>
    <numFmt numFmtId="172" formatCode="0.000000%"/>
    <numFmt numFmtId="173" formatCode="0.0000000%"/>
    <numFmt numFmtId="174" formatCode="0.00000000%"/>
    <numFmt numFmtId="175" formatCode="0.000000000%"/>
    <numFmt numFmtId="176" formatCode="0.0000000000"/>
    <numFmt numFmtId="177" formatCode="0.00000000000"/>
    <numFmt numFmtId="178" formatCode="0.00000%"/>
    <numFmt numFmtId="179" formatCode="0.000000"/>
    <numFmt numFmtId="180" formatCode="0.000000000000%"/>
    <numFmt numFmtId="181" formatCode="[$-280A]d&quot; de &quot;mmmm&quot; de &quot;yyyy;@"/>
  </numFmts>
  <fonts count="19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0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2"/>
      <color rgb="FFFF0000"/>
      <name val="Times New Roman"/>
      <family val="1"/>
    </font>
    <font>
      <b/>
      <sz val="12"/>
      <color rgb="FFC00000"/>
      <name val="Times New Roman"/>
      <family val="1"/>
    </font>
    <font>
      <b/>
      <sz val="12"/>
      <color rgb="FF002060"/>
      <name val="Times New Roman"/>
      <family val="1"/>
    </font>
    <font>
      <sz val="12"/>
      <color rgb="FF002060"/>
      <name val="Times New Roman"/>
      <family val="1"/>
    </font>
    <font>
      <i/>
      <sz val="12"/>
      <color rgb="FF002060"/>
      <name val="Times New Roman"/>
      <family val="1"/>
    </font>
    <font>
      <sz val="12"/>
      <color rgb="FFC00000"/>
      <name val="Times New Roman"/>
      <family val="1"/>
    </font>
    <font>
      <b/>
      <sz val="20"/>
      <color rgb="FFC00000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b/>
      <sz val="11"/>
      <color rgb="FFC00000"/>
      <name val="Calibri"/>
      <family val="2"/>
      <scheme val="minor"/>
    </font>
    <font>
      <b/>
      <sz val="20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32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9" fontId="1" fillId="0" borderId="1" xfId="2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17" xfId="0" applyFont="1" applyBorder="1"/>
    <xf numFmtId="0" fontId="1" fillId="0" borderId="12" xfId="0" applyFont="1" applyBorder="1"/>
    <xf numFmtId="0" fontId="2" fillId="0" borderId="1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1" fillId="0" borderId="19" xfId="0" applyFont="1" applyBorder="1"/>
    <xf numFmtId="0" fontId="1" fillId="0" borderId="20" xfId="0" applyFont="1" applyBorder="1"/>
    <xf numFmtId="0" fontId="1" fillId="0" borderId="13" xfId="0" applyFont="1" applyBorder="1"/>
    <xf numFmtId="0" fontId="1" fillId="0" borderId="1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left" vertical="center"/>
    </xf>
    <xf numFmtId="0" fontId="9" fillId="0" borderId="19" xfId="0" applyFont="1" applyBorder="1" applyAlignment="1">
      <alignment horizontal="center" vertical="center"/>
    </xf>
    <xf numFmtId="9" fontId="9" fillId="0" borderId="19" xfId="0" applyNumberFormat="1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9" fontId="8" fillId="0" borderId="19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9" fontId="6" fillId="0" borderId="18" xfId="2" applyFont="1" applyBorder="1" applyAlignment="1">
      <alignment horizontal="center" vertical="center"/>
    </xf>
    <xf numFmtId="0" fontId="1" fillId="0" borderId="12" xfId="0" applyFont="1" applyBorder="1" applyAlignment="1">
      <alignment horizontal="left"/>
    </xf>
    <xf numFmtId="0" fontId="1" fillId="0" borderId="16" xfId="0" applyFont="1" applyBorder="1" applyAlignment="1">
      <alignment horizontal="center"/>
    </xf>
    <xf numFmtId="0" fontId="7" fillId="0" borderId="0" xfId="0" applyFont="1"/>
    <xf numFmtId="0" fontId="1" fillId="0" borderId="21" xfId="0" applyFont="1" applyBorder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9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1" fontId="1" fillId="0" borderId="1" xfId="1" applyNumberFormat="1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2" fontId="1" fillId="0" borderId="1" xfId="2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9" fontId="6" fillId="0" borderId="0" xfId="2" applyFont="1" applyAlignment="1">
      <alignment horizontal="center" vertical="center"/>
    </xf>
    <xf numFmtId="167" fontId="11" fillId="0" borderId="0" xfId="0" applyNumberFormat="1" applyFont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166" fontId="1" fillId="0" borderId="1" xfId="2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9" fontId="2" fillId="0" borderId="0" xfId="2" applyFont="1" applyAlignment="1">
      <alignment horizontal="center" vertical="center"/>
    </xf>
    <xf numFmtId="10" fontId="1" fillId="0" borderId="1" xfId="2" applyNumberFormat="1" applyFont="1" applyBorder="1" applyAlignment="1">
      <alignment horizontal="center"/>
    </xf>
    <xf numFmtId="0" fontId="7" fillId="2" borderId="2" xfId="0" applyFont="1" applyFill="1" applyBorder="1" applyAlignment="1">
      <alignment horizontal="center" vertical="center"/>
    </xf>
    <xf numFmtId="164" fontId="7" fillId="2" borderId="2" xfId="0" applyNumberFormat="1" applyFont="1" applyFill="1" applyBorder="1" applyAlignment="1">
      <alignment horizontal="center" vertical="center"/>
    </xf>
    <xf numFmtId="2" fontId="7" fillId="2" borderId="2" xfId="0" applyNumberFormat="1" applyFont="1" applyFill="1" applyBorder="1" applyAlignment="1">
      <alignment horizontal="center" vertical="center"/>
    </xf>
    <xf numFmtId="10" fontId="8" fillId="0" borderId="0" xfId="0" applyNumberFormat="1" applyFont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72" fontId="1" fillId="0" borderId="12" xfId="2" applyNumberFormat="1" applyFont="1" applyBorder="1" applyAlignment="1">
      <alignment horizontal="center" vertical="center"/>
    </xf>
    <xf numFmtId="171" fontId="1" fillId="0" borderId="1" xfId="2" applyNumberFormat="1" applyFont="1" applyBorder="1" applyAlignment="1">
      <alignment horizontal="center" vertical="center"/>
    </xf>
    <xf numFmtId="9" fontId="9" fillId="0" borderId="0" xfId="0" applyNumberFormat="1" applyFont="1" applyAlignment="1">
      <alignment horizontal="center" vertical="center"/>
    </xf>
    <xf numFmtId="9" fontId="6" fillId="0" borderId="0" xfId="2" applyFont="1" applyBorder="1" applyAlignment="1">
      <alignment horizontal="center" vertical="center"/>
    </xf>
    <xf numFmtId="176" fontId="7" fillId="2" borderId="12" xfId="0" applyNumberFormat="1" applyFont="1" applyFill="1" applyBorder="1" applyAlignment="1">
      <alignment horizontal="center" vertical="center"/>
    </xf>
    <xf numFmtId="169" fontId="7" fillId="2" borderId="12" xfId="0" applyNumberFormat="1" applyFont="1" applyFill="1" applyBorder="1" applyAlignment="1">
      <alignment horizontal="center" vertical="center"/>
    </xf>
    <xf numFmtId="177" fontId="7" fillId="2" borderId="12" xfId="2" applyNumberFormat="1" applyFont="1" applyFill="1" applyBorder="1" applyAlignment="1">
      <alignment horizontal="center" vertical="center"/>
    </xf>
    <xf numFmtId="173" fontId="8" fillId="2" borderId="12" xfId="2" applyNumberFormat="1" applyFont="1" applyFill="1" applyBorder="1" applyAlignment="1">
      <alignment horizontal="center" vertical="center"/>
    </xf>
    <xf numFmtId="174" fontId="8" fillId="2" borderId="12" xfId="2" applyNumberFormat="1" applyFont="1" applyFill="1" applyBorder="1" applyAlignment="1">
      <alignment horizontal="center" vertical="center"/>
    </xf>
    <xf numFmtId="175" fontId="8" fillId="2" borderId="12" xfId="2" applyNumberFormat="1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/>
    </xf>
    <xf numFmtId="0" fontId="1" fillId="7" borderId="14" xfId="0" applyFont="1" applyFill="1" applyBorder="1" applyAlignment="1">
      <alignment horizontal="center"/>
    </xf>
    <xf numFmtId="0" fontId="1" fillId="7" borderId="14" xfId="0" applyFont="1" applyFill="1" applyBorder="1" applyAlignment="1">
      <alignment horizontal="center" vertical="center"/>
    </xf>
    <xf numFmtId="0" fontId="1" fillId="7" borderId="14" xfId="0" applyFont="1" applyFill="1" applyBorder="1"/>
    <xf numFmtId="0" fontId="1" fillId="7" borderId="15" xfId="0" applyFont="1" applyFill="1" applyBorder="1"/>
    <xf numFmtId="0" fontId="8" fillId="7" borderId="1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1" fillId="7" borderId="17" xfId="0" applyFont="1" applyFill="1" applyBorder="1"/>
    <xf numFmtId="0" fontId="1" fillId="7" borderId="21" xfId="0" applyFont="1" applyFill="1" applyBorder="1" applyAlignment="1">
      <alignment horizontal="center" vertical="center"/>
    </xf>
    <xf numFmtId="2" fontId="1" fillId="7" borderId="3" xfId="0" applyNumberFormat="1" applyFont="1" applyFill="1" applyBorder="1" applyAlignment="1">
      <alignment horizontal="center"/>
    </xf>
    <xf numFmtId="0" fontId="1" fillId="7" borderId="0" xfId="0" applyFont="1" applyFill="1" applyAlignment="1">
      <alignment horizontal="center" vertical="center"/>
    </xf>
    <xf numFmtId="0" fontId="7" fillId="7" borderId="0" xfId="0" applyFont="1" applyFill="1"/>
    <xf numFmtId="0" fontId="1" fillId="7" borderId="16" xfId="0" applyFont="1" applyFill="1" applyBorder="1" applyAlignment="1">
      <alignment horizontal="center" vertical="center"/>
    </xf>
    <xf numFmtId="165" fontId="1" fillId="7" borderId="1" xfId="2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12" xfId="0" applyFont="1" applyFill="1" applyBorder="1"/>
    <xf numFmtId="0" fontId="2" fillId="7" borderId="12" xfId="0" applyFont="1" applyFill="1" applyBorder="1" applyAlignment="1">
      <alignment horizontal="center" vertical="center"/>
    </xf>
    <xf numFmtId="2" fontId="7" fillId="7" borderId="12" xfId="2" applyNumberFormat="1" applyFont="1" applyFill="1" applyBorder="1" applyAlignment="1">
      <alignment horizontal="center" vertical="center"/>
    </xf>
    <xf numFmtId="2" fontId="8" fillId="7" borderId="0" xfId="0" applyNumberFormat="1" applyFont="1" applyFill="1" applyAlignment="1">
      <alignment horizontal="center" vertical="center"/>
    </xf>
    <xf numFmtId="165" fontId="6" fillId="7" borderId="0" xfId="0" applyNumberFormat="1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6" fillId="7" borderId="18" xfId="0" applyFont="1" applyFill="1" applyBorder="1" applyAlignment="1">
      <alignment horizontal="center" vertical="center"/>
    </xf>
    <xf numFmtId="0" fontId="9" fillId="7" borderId="19" xfId="0" applyFont="1" applyFill="1" applyBorder="1" applyAlignment="1">
      <alignment horizontal="center" vertical="center"/>
    </xf>
    <xf numFmtId="0" fontId="6" fillId="7" borderId="19" xfId="0" applyFont="1" applyFill="1" applyBorder="1" applyAlignment="1">
      <alignment horizontal="center" vertical="center"/>
    </xf>
    <xf numFmtId="9" fontId="9" fillId="7" borderId="19" xfId="0" applyNumberFormat="1" applyFont="1" applyFill="1" applyBorder="1" applyAlignment="1">
      <alignment horizontal="center" vertical="center"/>
    </xf>
    <xf numFmtId="0" fontId="1" fillId="7" borderId="19" xfId="0" applyFont="1" applyFill="1" applyBorder="1"/>
    <xf numFmtId="0" fontId="1" fillId="7" borderId="20" xfId="0" applyFont="1" applyFill="1" applyBorder="1"/>
    <xf numFmtId="2" fontId="1" fillId="0" borderId="1" xfId="2" applyNumberFormat="1" applyFont="1" applyBorder="1" applyAlignment="1">
      <alignment horizontal="center" vertical="center"/>
    </xf>
    <xf numFmtId="170" fontId="1" fillId="0" borderId="0" xfId="0" applyNumberFormat="1" applyFont="1" applyAlignment="1">
      <alignment horizontal="center" vertical="center"/>
    </xf>
    <xf numFmtId="168" fontId="8" fillId="0" borderId="1" xfId="0" applyNumberFormat="1" applyFont="1" applyBorder="1" applyAlignment="1">
      <alignment horizontal="center"/>
    </xf>
    <xf numFmtId="168" fontId="1" fillId="0" borderId="17" xfId="0" applyNumberFormat="1" applyFont="1" applyBorder="1" applyAlignment="1">
      <alignment horizontal="center" vertical="center"/>
    </xf>
    <xf numFmtId="168" fontId="1" fillId="0" borderId="16" xfId="0" applyNumberFormat="1" applyFont="1" applyBorder="1" applyAlignment="1">
      <alignment horizontal="center" vertical="center"/>
    </xf>
    <xf numFmtId="168" fontId="1" fillId="0" borderId="12" xfId="0" applyNumberFormat="1" applyFont="1" applyBorder="1" applyAlignment="1">
      <alignment horizontal="center" vertical="center"/>
    </xf>
    <xf numFmtId="168" fontId="2" fillId="0" borderId="12" xfId="0" applyNumberFormat="1" applyFont="1" applyBorder="1" applyAlignment="1">
      <alignment horizontal="center" vertical="center"/>
    </xf>
    <xf numFmtId="1" fontId="1" fillId="0" borderId="16" xfId="0" applyNumberFormat="1" applyFont="1" applyBorder="1" applyAlignment="1">
      <alignment horizontal="center"/>
    </xf>
    <xf numFmtId="1" fontId="1" fillId="0" borderId="1" xfId="2" applyNumberFormat="1" applyFont="1" applyBorder="1" applyAlignment="1">
      <alignment horizontal="center"/>
    </xf>
    <xf numFmtId="1" fontId="1" fillId="0" borderId="0" xfId="0" applyNumberFormat="1" applyFont="1" applyAlignment="1">
      <alignment horizontal="center" vertical="center"/>
    </xf>
    <xf numFmtId="1" fontId="1" fillId="0" borderId="0" xfId="0" applyNumberFormat="1" applyFont="1"/>
    <xf numFmtId="1" fontId="1" fillId="0" borderId="17" xfId="0" applyNumberFormat="1" applyFont="1" applyBorder="1"/>
    <xf numFmtId="1" fontId="1" fillId="0" borderId="1" xfId="0" applyNumberFormat="1" applyFont="1" applyBorder="1" applyAlignment="1">
      <alignment horizontal="center"/>
    </xf>
    <xf numFmtId="1" fontId="8" fillId="0" borderId="17" xfId="0" applyNumberFormat="1" applyFont="1" applyBorder="1" applyAlignment="1">
      <alignment horizontal="center" vertical="center"/>
    </xf>
    <xf numFmtId="1" fontId="1" fillId="0" borderId="12" xfId="0" applyNumberFormat="1" applyFont="1" applyBorder="1" applyAlignment="1">
      <alignment horizontal="left"/>
    </xf>
    <xf numFmtId="1" fontId="1" fillId="0" borderId="0" xfId="0" applyNumberFormat="1" applyFont="1" applyAlignment="1">
      <alignment horizontal="center"/>
    </xf>
    <xf numFmtId="1" fontId="2" fillId="0" borderId="12" xfId="0" applyNumberFormat="1" applyFont="1" applyBorder="1" applyAlignment="1">
      <alignment horizontal="center" vertical="center"/>
    </xf>
    <xf numFmtId="1" fontId="6" fillId="0" borderId="0" xfId="2" applyNumberFormat="1" applyFont="1" applyAlignment="1">
      <alignment horizontal="center" vertical="center"/>
    </xf>
    <xf numFmtId="1" fontId="1" fillId="0" borderId="17" xfId="0" applyNumberFormat="1" applyFont="1" applyBorder="1" applyAlignment="1">
      <alignment horizontal="center" vertical="center"/>
    </xf>
    <xf numFmtId="168" fontId="1" fillId="0" borderId="0" xfId="0" applyNumberFormat="1" applyFont="1" applyAlignment="1">
      <alignment horizontal="center" vertical="center"/>
    </xf>
    <xf numFmtId="1" fontId="6" fillId="0" borderId="0" xfId="2" applyNumberFormat="1" applyFont="1" applyBorder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" fontId="8" fillId="0" borderId="12" xfId="2" applyNumberFormat="1" applyFont="1" applyFill="1" applyBorder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68" fontId="7" fillId="2" borderId="12" xfId="2" applyNumberFormat="1" applyFont="1" applyFill="1" applyBorder="1" applyAlignment="1">
      <alignment horizontal="center" vertical="center"/>
    </xf>
    <xf numFmtId="1" fontId="7" fillId="2" borderId="12" xfId="0" applyNumberFormat="1" applyFont="1" applyFill="1" applyBorder="1" applyAlignment="1">
      <alignment horizontal="center" vertical="center"/>
    </xf>
    <xf numFmtId="9" fontId="8" fillId="0" borderId="0" xfId="2" applyFont="1" applyAlignment="1">
      <alignment horizontal="center" vertical="center"/>
    </xf>
    <xf numFmtId="167" fontId="7" fillId="2" borderId="2" xfId="0" applyNumberFormat="1" applyFont="1" applyFill="1" applyBorder="1" applyAlignment="1">
      <alignment horizontal="center" vertical="center"/>
    </xf>
    <xf numFmtId="164" fontId="7" fillId="2" borderId="12" xfId="2" applyNumberFormat="1" applyFont="1" applyFill="1" applyBorder="1" applyAlignment="1">
      <alignment horizontal="center" vertical="center"/>
    </xf>
    <xf numFmtId="9" fontId="8" fillId="0" borderId="0" xfId="2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9" fontId="2" fillId="0" borderId="0" xfId="2" applyFont="1" applyBorder="1" applyAlignment="1">
      <alignment horizontal="center" vertical="center"/>
    </xf>
    <xf numFmtId="168" fontId="8" fillId="0" borderId="0" xfId="0" applyNumberFormat="1" applyFont="1" applyAlignment="1">
      <alignment horizontal="center" vertical="center"/>
    </xf>
    <xf numFmtId="0" fontId="0" fillId="0" borderId="17" xfId="0" applyBorder="1"/>
    <xf numFmtId="2" fontId="8" fillId="0" borderId="0" xfId="0" applyNumberFormat="1" applyFont="1" applyAlignment="1">
      <alignment horizontal="center" vertical="center"/>
    </xf>
    <xf numFmtId="2" fontId="6" fillId="0" borderId="0" xfId="2" applyNumberFormat="1" applyFont="1" applyBorder="1" applyAlignment="1">
      <alignment horizontal="center" vertical="center"/>
    </xf>
    <xf numFmtId="9" fontId="1" fillId="0" borderId="0" xfId="0" applyNumberFormat="1" applyFont="1"/>
    <xf numFmtId="166" fontId="1" fillId="0" borderId="0" xfId="0" applyNumberFormat="1" applyFont="1"/>
    <xf numFmtId="10" fontId="1" fillId="0" borderId="1" xfId="0" applyNumberFormat="1" applyFont="1" applyBorder="1" applyAlignment="1">
      <alignment horizontal="center" vertical="center"/>
    </xf>
    <xf numFmtId="10" fontId="1" fillId="0" borderId="1" xfId="2" applyNumberFormat="1" applyFont="1" applyBorder="1" applyAlignment="1">
      <alignment horizontal="center" vertical="center"/>
    </xf>
    <xf numFmtId="168" fontId="7" fillId="0" borderId="17" xfId="0" applyNumberFormat="1" applyFont="1" applyBorder="1" applyAlignment="1">
      <alignment horizontal="center" vertical="center"/>
    </xf>
    <xf numFmtId="1" fontId="7" fillId="0" borderId="17" xfId="0" applyNumberFormat="1" applyFont="1" applyBorder="1" applyAlignment="1">
      <alignment horizontal="center" vertical="center"/>
    </xf>
    <xf numFmtId="178" fontId="6" fillId="0" borderId="18" xfId="2" applyNumberFormat="1" applyFont="1" applyBorder="1" applyAlignment="1">
      <alignment horizontal="center" vertical="center"/>
    </xf>
    <xf numFmtId="172" fontId="7" fillId="2" borderId="2" xfId="2" applyNumberFormat="1" applyFont="1" applyFill="1" applyBorder="1" applyAlignment="1">
      <alignment horizontal="center" vertical="center"/>
    </xf>
    <xf numFmtId="164" fontId="7" fillId="2" borderId="2" xfId="2" applyNumberFormat="1" applyFont="1" applyFill="1" applyBorder="1" applyAlignment="1">
      <alignment horizontal="center" vertical="center"/>
    </xf>
    <xf numFmtId="164" fontId="1" fillId="0" borderId="0" xfId="0" applyNumberFormat="1" applyFont="1"/>
    <xf numFmtId="0" fontId="13" fillId="0" borderId="0" xfId="3"/>
    <xf numFmtId="2" fontId="1" fillId="0" borderId="3" xfId="0" applyNumberFormat="1" applyFont="1" applyBorder="1" applyAlignment="1">
      <alignment horizontal="center"/>
    </xf>
    <xf numFmtId="172" fontId="1" fillId="0" borderId="1" xfId="2" applyNumberFormat="1" applyFont="1" applyFill="1" applyBorder="1" applyAlignment="1">
      <alignment horizontal="center"/>
    </xf>
    <xf numFmtId="172" fontId="8" fillId="0" borderId="0" xfId="0" applyNumberFormat="1" applyFont="1" applyAlignment="1">
      <alignment horizontal="center" vertical="center"/>
    </xf>
    <xf numFmtId="167" fontId="7" fillId="0" borderId="12" xfId="2" applyNumberFormat="1" applyFont="1" applyFill="1" applyBorder="1" applyAlignment="1">
      <alignment horizontal="center" vertical="center"/>
    </xf>
    <xf numFmtId="174" fontId="8" fillId="0" borderId="12" xfId="2" applyNumberFormat="1" applyFont="1" applyBorder="1" applyAlignment="1">
      <alignment horizontal="center" vertical="center"/>
    </xf>
    <xf numFmtId="175" fontId="8" fillId="0" borderId="12" xfId="2" applyNumberFormat="1" applyFont="1" applyBorder="1" applyAlignment="1">
      <alignment horizontal="center" vertical="center"/>
    </xf>
    <xf numFmtId="172" fontId="7" fillId="0" borderId="0" xfId="2" applyNumberFormat="1" applyFont="1" applyAlignment="1">
      <alignment horizontal="center" vertical="center"/>
    </xf>
    <xf numFmtId="173" fontId="8" fillId="0" borderId="0" xfId="2" applyNumberFormat="1" applyFont="1" applyAlignment="1">
      <alignment horizontal="center" vertical="center"/>
    </xf>
    <xf numFmtId="2" fontId="6" fillId="0" borderId="0" xfId="2" applyNumberFormat="1" applyFont="1" applyAlignment="1">
      <alignment horizontal="center" vertical="center"/>
    </xf>
    <xf numFmtId="2" fontId="1" fillId="0" borderId="3" xfId="2" applyNumberFormat="1" applyFont="1" applyBorder="1" applyAlignment="1">
      <alignment horizontal="center"/>
    </xf>
    <xf numFmtId="2" fontId="8" fillId="0" borderId="0" xfId="2" applyNumberFormat="1" applyFont="1" applyAlignment="1">
      <alignment horizontal="center" vertical="center"/>
    </xf>
    <xf numFmtId="2" fontId="8" fillId="0" borderId="12" xfId="2" applyNumberFormat="1" applyFont="1" applyBorder="1" applyAlignment="1">
      <alignment horizontal="center" vertical="center"/>
    </xf>
    <xf numFmtId="173" fontId="7" fillId="0" borderId="0" xfId="2" applyNumberFormat="1" applyFont="1" applyAlignment="1">
      <alignment horizontal="center" vertical="center"/>
    </xf>
    <xf numFmtId="169" fontId="7" fillId="0" borderId="12" xfId="2" applyNumberFormat="1" applyFont="1" applyFill="1" applyBorder="1" applyAlignment="1">
      <alignment horizontal="center" vertical="center"/>
    </xf>
    <xf numFmtId="174" fontId="1" fillId="0" borderId="3" xfId="2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174" fontId="6" fillId="0" borderId="0" xfId="2" applyNumberFormat="1" applyFont="1" applyAlignment="1">
      <alignment horizontal="center" vertical="center"/>
    </xf>
    <xf numFmtId="174" fontId="1" fillId="0" borderId="1" xfId="2" applyNumberFormat="1" applyFont="1" applyFill="1" applyBorder="1" applyAlignment="1">
      <alignment horizontal="center"/>
    </xf>
    <xf numFmtId="2" fontId="1" fillId="0" borderId="1" xfId="2" applyNumberFormat="1" applyFont="1" applyFill="1" applyBorder="1" applyAlignment="1">
      <alignment horizontal="center"/>
    </xf>
    <xf numFmtId="2" fontId="7" fillId="0" borderId="0" xfId="2" applyNumberFormat="1" applyFont="1" applyAlignment="1">
      <alignment horizontal="center" vertical="center"/>
    </xf>
    <xf numFmtId="0" fontId="1" fillId="0" borderId="19" xfId="0" applyFont="1" applyBorder="1" applyAlignment="1">
      <alignment wrapText="1"/>
    </xf>
    <xf numFmtId="1" fontId="7" fillId="0" borderId="0" xfId="2" applyNumberFormat="1" applyFont="1" applyAlignment="1">
      <alignment horizontal="center" vertical="center"/>
    </xf>
    <xf numFmtId="173" fontId="8" fillId="0" borderId="12" xfId="2" applyNumberFormat="1" applyFont="1" applyBorder="1" applyAlignment="1">
      <alignment horizontal="center" vertical="center"/>
    </xf>
    <xf numFmtId="178" fontId="7" fillId="0" borderId="0" xfId="2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0" fontId="1" fillId="0" borderId="1" xfId="2" applyNumberFormat="1" applyFont="1" applyFill="1" applyBorder="1" applyAlignment="1">
      <alignment horizontal="center"/>
    </xf>
    <xf numFmtId="171" fontId="1" fillId="0" borderId="1" xfId="2" applyNumberFormat="1" applyFont="1" applyFill="1" applyBorder="1" applyAlignment="1">
      <alignment horizontal="center"/>
    </xf>
    <xf numFmtId="2" fontId="8" fillId="0" borderId="0" xfId="2" applyNumberFormat="1" applyFont="1" applyBorder="1" applyAlignment="1">
      <alignment horizontal="center" vertical="center"/>
    </xf>
    <xf numFmtId="178" fontId="7" fillId="0" borderId="0" xfId="2" applyNumberFormat="1" applyFont="1" applyBorder="1" applyAlignment="1">
      <alignment horizontal="center" vertical="center"/>
    </xf>
    <xf numFmtId="173" fontId="16" fillId="0" borderId="16" xfId="2" applyNumberFormat="1" applyFont="1" applyBorder="1" applyAlignment="1">
      <alignment horizontal="center" vertical="center"/>
    </xf>
    <xf numFmtId="2" fontId="1" fillId="0" borderId="1" xfId="2" applyNumberFormat="1" applyFont="1" applyFill="1" applyBorder="1" applyAlignment="1">
      <alignment horizontal="center" vertical="center"/>
    </xf>
    <xf numFmtId="175" fontId="1" fillId="0" borderId="1" xfId="2" applyNumberFormat="1" applyFont="1" applyFill="1" applyBorder="1" applyAlignment="1">
      <alignment horizontal="center"/>
    </xf>
    <xf numFmtId="14" fontId="0" fillId="0" borderId="0" xfId="0" applyNumberFormat="1"/>
    <xf numFmtId="1" fontId="11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79" fontId="7" fillId="0" borderId="0" xfId="2" applyNumberFormat="1" applyFont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2" fontId="7" fillId="0" borderId="12" xfId="2" applyNumberFormat="1" applyFont="1" applyFill="1" applyBorder="1" applyAlignment="1">
      <alignment horizontal="center" vertical="center"/>
    </xf>
    <xf numFmtId="43" fontId="1" fillId="0" borderId="3" xfId="1" applyFont="1" applyBorder="1" applyAlignment="1">
      <alignment horizontal="center" vertical="center"/>
    </xf>
    <xf numFmtId="0" fontId="6" fillId="0" borderId="17" xfId="0" applyFont="1" applyBorder="1"/>
    <xf numFmtId="0" fontId="1" fillId="0" borderId="15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7" fillId="0" borderId="17" xfId="0" applyFont="1" applyBorder="1"/>
    <xf numFmtId="172" fontId="8" fillId="0" borderId="17" xfId="0" applyNumberFormat="1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2" fontId="0" fillId="0" borderId="0" xfId="0" applyNumberFormat="1"/>
    <xf numFmtId="166" fontId="0" fillId="0" borderId="0" xfId="0" applyNumberFormat="1"/>
    <xf numFmtId="175" fontId="6" fillId="0" borderId="0" xfId="2" applyNumberFormat="1" applyFont="1" applyAlignment="1">
      <alignment horizontal="center" vertical="center"/>
    </xf>
    <xf numFmtId="175" fontId="8" fillId="0" borderId="0" xfId="0" applyNumberFormat="1" applyFont="1" applyAlignment="1">
      <alignment horizontal="center" vertical="center"/>
    </xf>
    <xf numFmtId="173" fontId="1" fillId="0" borderId="1" xfId="2" applyNumberFormat="1" applyFont="1" applyFill="1" applyBorder="1" applyAlignment="1">
      <alignment horizontal="center"/>
    </xf>
    <xf numFmtId="175" fontId="8" fillId="0" borderId="0" xfId="2" applyNumberFormat="1" applyFont="1" applyBorder="1" applyAlignment="1">
      <alignment horizontal="center" vertical="center"/>
    </xf>
    <xf numFmtId="180" fontId="1" fillId="0" borderId="1" xfId="2" applyNumberFormat="1" applyFont="1" applyFill="1" applyBorder="1" applyAlignment="1">
      <alignment horizontal="center"/>
    </xf>
    <xf numFmtId="175" fontId="1" fillId="0" borderId="1" xfId="2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2" fontId="7" fillId="0" borderId="2" xfId="2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9" fontId="9" fillId="0" borderId="2" xfId="0" applyNumberFormat="1" applyFont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14" fontId="8" fillId="0" borderId="2" xfId="2" applyNumberFormat="1" applyFont="1" applyBorder="1" applyAlignment="1">
      <alignment horizontal="center" vertical="center"/>
    </xf>
    <xf numFmtId="14" fontId="9" fillId="0" borderId="2" xfId="0" applyNumberFormat="1" applyFont="1" applyBorder="1" applyAlignment="1">
      <alignment horizontal="center" vertical="center"/>
    </xf>
    <xf numFmtId="178" fontId="1" fillId="0" borderId="2" xfId="2" applyNumberFormat="1" applyFont="1" applyBorder="1" applyAlignment="1">
      <alignment horizontal="center" vertical="center"/>
    </xf>
    <xf numFmtId="178" fontId="2" fillId="0" borderId="2" xfId="2" applyNumberFormat="1" applyFont="1" applyBorder="1" applyAlignment="1">
      <alignment horizontal="center" vertical="center"/>
    </xf>
    <xf numFmtId="178" fontId="8" fillId="0" borderId="2" xfId="2" applyNumberFormat="1" applyFont="1" applyBorder="1" applyAlignment="1">
      <alignment horizontal="center" vertical="center"/>
    </xf>
    <xf numFmtId="178" fontId="9" fillId="0" borderId="2" xfId="2" applyNumberFormat="1" applyFont="1" applyBorder="1" applyAlignment="1">
      <alignment horizontal="center" vertical="center"/>
    </xf>
    <xf numFmtId="14" fontId="0" fillId="0" borderId="0" xfId="0" applyNumberFormat="1" applyAlignment="1">
      <alignment horizontal="left" vertical="center"/>
    </xf>
    <xf numFmtId="14" fontId="1" fillId="0" borderId="0" xfId="0" applyNumberFormat="1" applyFont="1" applyAlignment="1">
      <alignment horizontal="left" vertical="center"/>
    </xf>
    <xf numFmtId="14" fontId="2" fillId="2" borderId="2" xfId="0" applyNumberFormat="1" applyFont="1" applyFill="1" applyBorder="1" applyAlignment="1">
      <alignment horizontal="left" vertical="center"/>
    </xf>
    <xf numFmtId="181" fontId="1" fillId="0" borderId="2" xfId="0" applyNumberFormat="1" applyFont="1" applyBorder="1" applyAlignment="1">
      <alignment horizontal="left" vertical="center"/>
    </xf>
    <xf numFmtId="14" fontId="1" fillId="2" borderId="2" xfId="0" applyNumberFormat="1" applyFont="1" applyFill="1" applyBorder="1" applyAlignment="1">
      <alignment horizontal="center" vertical="center"/>
    </xf>
    <xf numFmtId="175" fontId="1" fillId="0" borderId="1" xfId="2" applyNumberFormat="1" applyFont="1" applyBorder="1" applyAlignment="1">
      <alignment horizontal="center" vertical="center"/>
    </xf>
    <xf numFmtId="167" fontId="1" fillId="0" borderId="1" xfId="2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78" fontId="1" fillId="0" borderId="2" xfId="2" applyNumberFormat="1" applyFont="1" applyFill="1" applyBorder="1" applyAlignment="1">
      <alignment horizontal="center" vertical="center"/>
    </xf>
    <xf numFmtId="175" fontId="1" fillId="0" borderId="2" xfId="2" applyNumberFormat="1" applyFont="1" applyFill="1" applyBorder="1" applyAlignment="1">
      <alignment horizontal="center" vertical="center"/>
    </xf>
    <xf numFmtId="178" fontId="1" fillId="2" borderId="2" xfId="2" applyNumberFormat="1" applyFont="1" applyFill="1" applyBorder="1" applyAlignment="1">
      <alignment horizontal="center" vertical="center"/>
    </xf>
    <xf numFmtId="164" fontId="0" fillId="0" borderId="0" xfId="0" applyNumberFormat="1"/>
    <xf numFmtId="0" fontId="1" fillId="9" borderId="16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174" fontId="7" fillId="0" borderId="0" xfId="2" applyNumberFormat="1" applyFont="1" applyBorder="1" applyAlignment="1">
      <alignment horizontal="center" vertical="center"/>
    </xf>
    <xf numFmtId="1" fontId="8" fillId="0" borderId="0" xfId="2" applyNumberFormat="1" applyFont="1" applyBorder="1" applyAlignment="1">
      <alignment horizontal="center" vertical="center"/>
    </xf>
    <xf numFmtId="171" fontId="6" fillId="0" borderId="0" xfId="2" applyNumberFormat="1" applyFont="1" applyBorder="1" applyAlignment="1">
      <alignment horizontal="center" vertical="center"/>
    </xf>
    <xf numFmtId="174" fontId="6" fillId="0" borderId="0" xfId="2" applyNumberFormat="1" applyFont="1" applyBorder="1" applyAlignment="1">
      <alignment horizontal="center" vertical="center"/>
    </xf>
    <xf numFmtId="167" fontId="1" fillId="0" borderId="2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4" fontId="1" fillId="0" borderId="2" xfId="0" applyNumberFormat="1" applyFont="1" applyBorder="1" applyAlignment="1">
      <alignment horizontal="center" vertical="center"/>
    </xf>
    <xf numFmtId="2" fontId="6" fillId="0" borderId="2" xfId="2" applyNumberFormat="1" applyFont="1" applyFill="1" applyBorder="1" applyAlignment="1">
      <alignment horizontal="center" vertical="center"/>
    </xf>
    <xf numFmtId="175" fontId="1" fillId="0" borderId="0" xfId="0" applyNumberFormat="1" applyFont="1" applyAlignment="1">
      <alignment horizontal="center" vertical="center"/>
    </xf>
    <xf numFmtId="167" fontId="0" fillId="0" borderId="0" xfId="0" applyNumberFormat="1"/>
    <xf numFmtId="175" fontId="1" fillId="2" borderId="2" xfId="2" applyNumberFormat="1" applyFont="1" applyFill="1" applyBorder="1" applyAlignment="1">
      <alignment horizontal="center" vertical="center"/>
    </xf>
    <xf numFmtId="173" fontId="1" fillId="0" borderId="3" xfId="2" applyNumberFormat="1" applyFont="1" applyBorder="1" applyAlignment="1">
      <alignment horizontal="center"/>
    </xf>
    <xf numFmtId="0" fontId="2" fillId="0" borderId="0" xfId="0" applyFont="1"/>
    <xf numFmtId="173" fontId="1" fillId="0" borderId="17" xfId="0" applyNumberFormat="1" applyFont="1" applyBorder="1"/>
    <xf numFmtId="2" fontId="6" fillId="0" borderId="0" xfId="0" applyNumberFormat="1" applyFont="1" applyAlignment="1">
      <alignment horizontal="center" vertical="center"/>
    </xf>
    <xf numFmtId="2" fontId="1" fillId="0" borderId="17" xfId="0" applyNumberFormat="1" applyFont="1" applyBorder="1"/>
    <xf numFmtId="2" fontId="7" fillId="0" borderId="0" xfId="2" applyNumberFormat="1" applyFont="1" applyBorder="1" applyAlignment="1">
      <alignment horizontal="center" vertical="center"/>
    </xf>
    <xf numFmtId="10" fontId="1" fillId="0" borderId="0" xfId="2" applyNumberFormat="1" applyFont="1" applyFill="1" applyBorder="1" applyAlignment="1">
      <alignment horizontal="center"/>
    </xf>
    <xf numFmtId="169" fontId="7" fillId="0" borderId="0" xfId="2" applyNumberFormat="1" applyFont="1" applyFill="1" applyBorder="1" applyAlignment="1">
      <alignment horizontal="center" vertical="center"/>
    </xf>
    <xf numFmtId="43" fontId="1" fillId="0" borderId="0" xfId="1" applyFont="1" applyFill="1" applyBorder="1" applyAlignment="1">
      <alignment horizontal="center" vertical="center"/>
    </xf>
    <xf numFmtId="173" fontId="8" fillId="0" borderId="0" xfId="2" applyNumberFormat="1" applyFont="1" applyFill="1" applyBorder="1" applyAlignment="1">
      <alignment horizontal="center" vertical="center"/>
    </xf>
    <xf numFmtId="2" fontId="8" fillId="0" borderId="0" xfId="2" applyNumberFormat="1" applyFont="1" applyFill="1" applyBorder="1" applyAlignment="1">
      <alignment horizontal="center" vertical="center"/>
    </xf>
    <xf numFmtId="2" fontId="6" fillId="0" borderId="0" xfId="2" applyNumberFormat="1" applyFont="1" applyFill="1" applyBorder="1" applyAlignment="1">
      <alignment horizontal="center" vertical="center"/>
    </xf>
    <xf numFmtId="179" fontId="7" fillId="0" borderId="0" xfId="2" applyNumberFormat="1" applyFont="1" applyFill="1" applyBorder="1" applyAlignment="1">
      <alignment horizontal="center" vertical="center"/>
    </xf>
    <xf numFmtId="10" fontId="0" fillId="0" borderId="0" xfId="2" applyNumberFormat="1" applyFont="1" applyFill="1" applyBorder="1"/>
    <xf numFmtId="164" fontId="1" fillId="0" borderId="3" xfId="2" applyNumberFormat="1" applyFont="1" applyBorder="1" applyAlignment="1">
      <alignment horizontal="center"/>
    </xf>
    <xf numFmtId="169" fontId="0" fillId="0" borderId="0" xfId="0" applyNumberFormat="1" applyAlignment="1">
      <alignment horizontal="center"/>
    </xf>
    <xf numFmtId="9" fontId="0" fillId="0" borderId="0" xfId="0" applyNumberFormat="1"/>
    <xf numFmtId="170" fontId="0" fillId="0" borderId="0" xfId="0" applyNumberFormat="1"/>
    <xf numFmtId="171" fontId="8" fillId="0" borderId="0" xfId="2" applyNumberFormat="1" applyFont="1" applyAlignment="1">
      <alignment horizontal="center" vertical="center"/>
    </xf>
    <xf numFmtId="171" fontId="6" fillId="0" borderId="0" xfId="2" applyNumberFormat="1" applyFont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7" fillId="0" borderId="16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" fontId="1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2" fillId="6" borderId="0" xfId="0" applyFont="1" applyFill="1" applyAlignment="1">
      <alignment horizontal="center"/>
    </xf>
    <xf numFmtId="0" fontId="12" fillId="2" borderId="0" xfId="0" applyFont="1" applyFill="1" applyAlignment="1">
      <alignment horizontal="center" vertical="center"/>
    </xf>
    <xf numFmtId="0" fontId="7" fillId="5" borderId="16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7" borderId="16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2" fillId="9" borderId="9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7" fillId="10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8" fillId="2" borderId="0" xfId="0" applyFont="1" applyFill="1" applyAlignment="1">
      <alignment horizontal="center"/>
    </xf>
    <xf numFmtId="0" fontId="2" fillId="2" borderId="9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</cellXfs>
  <cellStyles count="4">
    <cellStyle name="Hipervínculo" xfId="3" builtinId="8"/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Relationship Id="rId9" Type="http://schemas.openxmlformats.org/officeDocument/2006/relationships/image" Target="../media/image17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5.png"/><Relationship Id="rId13" Type="http://schemas.openxmlformats.org/officeDocument/2006/relationships/image" Target="../media/image30.png"/><Relationship Id="rId3" Type="http://schemas.openxmlformats.org/officeDocument/2006/relationships/image" Target="../media/image20.png"/><Relationship Id="rId7" Type="http://schemas.openxmlformats.org/officeDocument/2006/relationships/image" Target="../media/image24.png"/><Relationship Id="rId12" Type="http://schemas.openxmlformats.org/officeDocument/2006/relationships/image" Target="../media/image29.png"/><Relationship Id="rId2" Type="http://schemas.openxmlformats.org/officeDocument/2006/relationships/image" Target="../media/image19.png"/><Relationship Id="rId16" Type="http://schemas.openxmlformats.org/officeDocument/2006/relationships/image" Target="../media/image33.png"/><Relationship Id="rId1" Type="http://schemas.openxmlformats.org/officeDocument/2006/relationships/image" Target="../media/image18.png"/><Relationship Id="rId6" Type="http://schemas.openxmlformats.org/officeDocument/2006/relationships/image" Target="../media/image23.png"/><Relationship Id="rId11" Type="http://schemas.openxmlformats.org/officeDocument/2006/relationships/image" Target="../media/image28.png"/><Relationship Id="rId5" Type="http://schemas.openxmlformats.org/officeDocument/2006/relationships/image" Target="../media/image22.png"/><Relationship Id="rId15" Type="http://schemas.openxmlformats.org/officeDocument/2006/relationships/image" Target="../media/image32.png"/><Relationship Id="rId10" Type="http://schemas.openxmlformats.org/officeDocument/2006/relationships/image" Target="../media/image27.png"/><Relationship Id="rId4" Type="http://schemas.openxmlformats.org/officeDocument/2006/relationships/image" Target="../media/image21.png"/><Relationship Id="rId9" Type="http://schemas.openxmlformats.org/officeDocument/2006/relationships/image" Target="../media/image26.png"/><Relationship Id="rId14" Type="http://schemas.openxmlformats.org/officeDocument/2006/relationships/image" Target="../media/image3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14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3" Type="http://schemas.openxmlformats.org/officeDocument/2006/relationships/image" Target="../media/image36.png"/><Relationship Id="rId7" Type="http://schemas.openxmlformats.org/officeDocument/2006/relationships/image" Target="../media/image29.png"/><Relationship Id="rId2" Type="http://schemas.openxmlformats.org/officeDocument/2006/relationships/image" Target="../media/image35.png"/><Relationship Id="rId1" Type="http://schemas.openxmlformats.org/officeDocument/2006/relationships/image" Target="../media/image34.png"/><Relationship Id="rId6" Type="http://schemas.openxmlformats.org/officeDocument/2006/relationships/image" Target="../media/image39.png"/><Relationship Id="rId5" Type="http://schemas.openxmlformats.org/officeDocument/2006/relationships/image" Target="../media/image38.png"/><Relationship Id="rId4" Type="http://schemas.openxmlformats.org/officeDocument/2006/relationships/image" Target="../media/image37.png"/><Relationship Id="rId9" Type="http://schemas.openxmlformats.org/officeDocument/2006/relationships/image" Target="../media/image4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137160</xdr:colOff>
      <xdr:row>7</xdr:row>
      <xdr:rowOff>15240</xdr:rowOff>
    </xdr:from>
    <xdr:to>
      <xdr:col>12</xdr:col>
      <xdr:colOff>464820</xdr:colOff>
      <xdr:row>9</xdr:row>
      <xdr:rowOff>169159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06EB45A-5CEF-2F46-6754-4306A4017DC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5650"/>
        <a:stretch/>
      </xdr:blipFill>
      <xdr:spPr>
        <a:xfrm>
          <a:off x="8473440" y="1463040"/>
          <a:ext cx="1120140" cy="550159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3</xdr:col>
      <xdr:colOff>209550</xdr:colOff>
      <xdr:row>6</xdr:row>
      <xdr:rowOff>163830</xdr:rowOff>
    </xdr:from>
    <xdr:to>
      <xdr:col>5</xdr:col>
      <xdr:colOff>343110</xdr:colOff>
      <xdr:row>8</xdr:row>
      <xdr:rowOff>101012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05488F6-7137-DD90-2B0E-2F7D7698F916}"/>
            </a:ext>
            <a:ext uri="{147F2762-F138-4A5C-976F-8EAC2B608ADB}">
              <a16:predDERef xmlns:a16="http://schemas.microsoft.com/office/drawing/2014/main" pred="{206EB45A-5CEF-2F46-6754-4306A4017D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66975" y="1373505"/>
          <a:ext cx="1467060" cy="318182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3</xdr:col>
      <xdr:colOff>91440</xdr:colOff>
      <xdr:row>16</xdr:row>
      <xdr:rowOff>68580</xdr:rowOff>
    </xdr:from>
    <xdr:to>
      <xdr:col>7</xdr:col>
      <xdr:colOff>68580</xdr:colOff>
      <xdr:row>18</xdr:row>
      <xdr:rowOff>160585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73E3A96-8C68-87E1-78E9-EE5B6341339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6214"/>
        <a:stretch/>
      </xdr:blipFill>
      <xdr:spPr>
        <a:xfrm>
          <a:off x="2407920" y="3596640"/>
          <a:ext cx="2827020" cy="48824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13</xdr:col>
      <xdr:colOff>106680</xdr:colOff>
      <xdr:row>15</xdr:row>
      <xdr:rowOff>190501</xdr:rowOff>
    </xdr:from>
    <xdr:to>
      <xdr:col>14</xdr:col>
      <xdr:colOff>145804</xdr:colOff>
      <xdr:row>18</xdr:row>
      <xdr:rowOff>106680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0CFF435-F07B-F016-C489-813F3C23C2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8311"/>
        <a:stretch/>
      </xdr:blipFill>
      <xdr:spPr>
        <a:xfrm>
          <a:off x="10035540" y="3520441"/>
          <a:ext cx="831604" cy="510539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548640</xdr:colOff>
      <xdr:row>2</xdr:row>
      <xdr:rowOff>160020</xdr:rowOff>
    </xdr:from>
    <xdr:to>
      <xdr:col>7</xdr:col>
      <xdr:colOff>666987</xdr:colOff>
      <xdr:row>6</xdr:row>
      <xdr:rowOff>72488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68E97BB7-1141-918C-364E-E5A74F3BD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31080" y="571500"/>
          <a:ext cx="1695687" cy="704948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14</xdr:col>
      <xdr:colOff>53340</xdr:colOff>
      <xdr:row>2</xdr:row>
      <xdr:rowOff>144780</xdr:rowOff>
    </xdr:from>
    <xdr:to>
      <xdr:col>15</xdr:col>
      <xdr:colOff>626615</xdr:colOff>
      <xdr:row>6</xdr:row>
      <xdr:rowOff>129540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6F2DB10-F696-F284-705C-5228FFA5FE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68100" y="556260"/>
          <a:ext cx="1373375" cy="77724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14</xdr:col>
      <xdr:colOff>68581</xdr:colOff>
      <xdr:row>15</xdr:row>
      <xdr:rowOff>144780</xdr:rowOff>
    </xdr:from>
    <xdr:to>
      <xdr:col>15</xdr:col>
      <xdr:colOff>668656</xdr:colOff>
      <xdr:row>19</xdr:row>
      <xdr:rowOff>92484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2FD9A80C-23F1-3DC2-4778-F42522DE26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83341" y="2956560"/>
          <a:ext cx="1402080" cy="740184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5</xdr:col>
      <xdr:colOff>419101</xdr:colOff>
      <xdr:row>15</xdr:row>
      <xdr:rowOff>137160</xdr:rowOff>
    </xdr:from>
    <xdr:to>
      <xdr:col>7</xdr:col>
      <xdr:colOff>685801</xdr:colOff>
      <xdr:row>20</xdr:row>
      <xdr:rowOff>96722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D138D82-390F-7D9C-F84F-6FE6A24B01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81501" y="2948940"/>
          <a:ext cx="1851660" cy="942542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655320</xdr:colOff>
      <xdr:row>4</xdr:row>
      <xdr:rowOff>137160</xdr:rowOff>
    </xdr:from>
    <xdr:to>
      <xdr:col>7</xdr:col>
      <xdr:colOff>268830</xdr:colOff>
      <xdr:row>6</xdr:row>
      <xdr:rowOff>173416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63C59153-E8F0-C45C-515C-658E644498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70120" y="2926080"/>
          <a:ext cx="1609950" cy="438211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6</xdr:col>
      <xdr:colOff>160020</xdr:colOff>
      <xdr:row>17</xdr:row>
      <xdr:rowOff>91440</xdr:rowOff>
    </xdr:from>
    <xdr:to>
      <xdr:col>7</xdr:col>
      <xdr:colOff>529805</xdr:colOff>
      <xdr:row>20</xdr:row>
      <xdr:rowOff>40081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24177699-4233-D4D5-6CC7-F0FD7D57EF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73040" y="3596640"/>
          <a:ext cx="1543265" cy="543001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13</xdr:col>
      <xdr:colOff>15240</xdr:colOff>
      <xdr:row>4</xdr:row>
      <xdr:rowOff>160020</xdr:rowOff>
    </xdr:from>
    <xdr:to>
      <xdr:col>15</xdr:col>
      <xdr:colOff>148960</xdr:colOff>
      <xdr:row>6</xdr:row>
      <xdr:rowOff>133350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FE710D77-7A06-A2F0-4B1D-8966572A79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376660" y="1066800"/>
          <a:ext cx="2183500" cy="35814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12</xdr:col>
      <xdr:colOff>565486</xdr:colOff>
      <xdr:row>17</xdr:row>
      <xdr:rowOff>160020</xdr:rowOff>
    </xdr:from>
    <xdr:to>
      <xdr:col>14</xdr:col>
      <xdr:colOff>739412</xdr:colOff>
      <xdr:row>20</xdr:row>
      <xdr:rowOff>21006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95BA2E86-5C80-4FC0-1D7E-84105A86E3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134426" y="3665220"/>
          <a:ext cx="2475166" cy="461061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16</xdr:col>
      <xdr:colOff>381000</xdr:colOff>
      <xdr:row>4</xdr:row>
      <xdr:rowOff>68580</xdr:rowOff>
    </xdr:from>
    <xdr:to>
      <xdr:col>24</xdr:col>
      <xdr:colOff>551456</xdr:colOff>
      <xdr:row>26</xdr:row>
      <xdr:rowOff>135876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1710D7E5-5BA3-1F0F-35A3-B1237FF5C5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517880" y="662940"/>
          <a:ext cx="6525536" cy="4448796"/>
        </a:xfrm>
        <a:prstGeom prst="rect">
          <a:avLst/>
        </a:prstGeom>
      </xdr:spPr>
    </xdr:pic>
    <xdr:clientData/>
  </xdr:twoCellAnchor>
  <xdr:twoCellAnchor editAs="oneCell">
    <xdr:from>
      <xdr:col>4</xdr:col>
      <xdr:colOff>556260</xdr:colOff>
      <xdr:row>32</xdr:row>
      <xdr:rowOff>190500</xdr:rowOff>
    </xdr:from>
    <xdr:to>
      <xdr:col>7</xdr:col>
      <xdr:colOff>586741</xdr:colOff>
      <xdr:row>35</xdr:row>
      <xdr:rowOff>171450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9A5CA31F-DF36-E3E6-DC8D-2FDDF1E7B2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053840" y="6804660"/>
          <a:ext cx="2819401" cy="56388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13</xdr:col>
      <xdr:colOff>255582</xdr:colOff>
      <xdr:row>32</xdr:row>
      <xdr:rowOff>182880</xdr:rowOff>
    </xdr:from>
    <xdr:to>
      <xdr:col>15</xdr:col>
      <xdr:colOff>207892</xdr:colOff>
      <xdr:row>36</xdr:row>
      <xdr:rowOff>15240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598083D2-07B4-F007-0C2D-5206D8D4D5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617002" y="6797040"/>
          <a:ext cx="2017330" cy="63246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5</xdr:col>
      <xdr:colOff>121920</xdr:colOff>
      <xdr:row>45</xdr:row>
      <xdr:rowOff>121920</xdr:rowOff>
    </xdr:from>
    <xdr:to>
      <xdr:col>7</xdr:col>
      <xdr:colOff>567954</xdr:colOff>
      <xdr:row>48</xdr:row>
      <xdr:rowOff>129540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26542AAE-D992-4F05-4DEB-151EB109E0D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t="8614"/>
        <a:stretch/>
      </xdr:blipFill>
      <xdr:spPr>
        <a:xfrm>
          <a:off x="4411980" y="9319260"/>
          <a:ext cx="2442474" cy="60960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13</xdr:col>
      <xdr:colOff>403860</xdr:colOff>
      <xdr:row>45</xdr:row>
      <xdr:rowOff>152400</xdr:rowOff>
    </xdr:from>
    <xdr:to>
      <xdr:col>15</xdr:col>
      <xdr:colOff>607565</xdr:colOff>
      <xdr:row>48</xdr:row>
      <xdr:rowOff>167640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43ECFE60-CB97-C057-DCC0-61A145F2031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10322" b="-1"/>
        <a:stretch/>
      </xdr:blipFill>
      <xdr:spPr>
        <a:xfrm>
          <a:off x="12344400" y="9364980"/>
          <a:ext cx="2253485" cy="61722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170622</xdr:colOff>
      <xdr:row>3</xdr:row>
      <xdr:rowOff>141633</xdr:rowOff>
    </xdr:from>
    <xdr:to>
      <xdr:col>7</xdr:col>
      <xdr:colOff>153477</xdr:colOff>
      <xdr:row>6</xdr:row>
      <xdr:rowOff>98552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E267625-EAEF-4924-5AC6-53CF65F07B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93905" y="1450285"/>
          <a:ext cx="1556550" cy="560886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oneCellAnchor>
    <xdr:from>
      <xdr:col>13</xdr:col>
      <xdr:colOff>666750</xdr:colOff>
      <xdr:row>3</xdr:row>
      <xdr:rowOff>120015</xdr:rowOff>
    </xdr:from>
    <xdr:ext cx="1564005" cy="568423"/>
    <xdr:pic>
      <xdr:nvPicPr>
        <xdr:cNvPr id="3" name="Imagen 2">
          <a:extLst>
            <a:ext uri="{FF2B5EF4-FFF2-40B4-BE49-F238E27FC236}">
              <a16:creationId xmlns:a16="http://schemas.microsoft.com/office/drawing/2014/main" id="{30ECFFAA-A67B-4752-A4D4-E112A00C05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01600" y="1424940"/>
          <a:ext cx="1564005" cy="568423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oneCellAnchor>
  <xdr:twoCellAnchor editAs="oneCell">
    <xdr:from>
      <xdr:col>3</xdr:col>
      <xdr:colOff>676275</xdr:colOff>
      <xdr:row>19</xdr:row>
      <xdr:rowOff>133350</xdr:rowOff>
    </xdr:from>
    <xdr:to>
      <xdr:col>7</xdr:col>
      <xdr:colOff>315221</xdr:colOff>
      <xdr:row>20</xdr:row>
      <xdr:rowOff>174898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F54CC59B-A101-3FFB-E741-2A2240918D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95750" y="4629150"/>
          <a:ext cx="3238500" cy="241573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11</xdr:col>
      <xdr:colOff>359375</xdr:colOff>
      <xdr:row>17</xdr:row>
      <xdr:rowOff>179071</xdr:rowOff>
    </xdr:from>
    <xdr:to>
      <xdr:col>14</xdr:col>
      <xdr:colOff>365467</xdr:colOff>
      <xdr:row>19</xdr:row>
      <xdr:rowOff>938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BC533D93-8240-DD1C-B143-6175FB85C6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589350" y="4274821"/>
          <a:ext cx="3984025" cy="212391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3</xdr:col>
      <xdr:colOff>731520</xdr:colOff>
      <xdr:row>34</xdr:row>
      <xdr:rowOff>11430</xdr:rowOff>
    </xdr:from>
    <xdr:to>
      <xdr:col>7</xdr:col>
      <xdr:colOff>374025</xdr:colOff>
      <xdr:row>35</xdr:row>
      <xdr:rowOff>55246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B4E9A8D1-0E98-85AA-E2D2-AD2F371386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3895" y="7498080"/>
          <a:ext cx="3230629" cy="24384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11</xdr:col>
      <xdr:colOff>668655</xdr:colOff>
      <xdr:row>32</xdr:row>
      <xdr:rowOff>5715</xdr:rowOff>
    </xdr:from>
    <xdr:to>
      <xdr:col>14</xdr:col>
      <xdr:colOff>712737</xdr:colOff>
      <xdr:row>33</xdr:row>
      <xdr:rowOff>59093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DE2DFE62-82C3-4F44-90E7-E3D0867C62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384405" y="7092315"/>
          <a:ext cx="4018205" cy="259117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11</xdr:col>
      <xdr:colOff>369571</xdr:colOff>
      <xdr:row>46</xdr:row>
      <xdr:rowOff>9526</xdr:rowOff>
    </xdr:from>
    <xdr:to>
      <xdr:col>14</xdr:col>
      <xdr:colOff>902678</xdr:colOff>
      <xdr:row>47</xdr:row>
      <xdr:rowOff>21070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952BEC27-CC04-055C-7FE9-09903E196F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085321" y="9886951"/>
          <a:ext cx="4505325" cy="207758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12</xdr:col>
      <xdr:colOff>0</xdr:colOff>
      <xdr:row>60</xdr:row>
      <xdr:rowOff>0</xdr:rowOff>
    </xdr:from>
    <xdr:to>
      <xdr:col>14</xdr:col>
      <xdr:colOff>83089</xdr:colOff>
      <xdr:row>63</xdr:row>
      <xdr:rowOff>15325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29EF78C-4592-5059-5150-F761561293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115925" y="12849225"/>
          <a:ext cx="2476846" cy="60968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11</xdr:col>
      <xdr:colOff>1043609</xdr:colOff>
      <xdr:row>75</xdr:row>
      <xdr:rowOff>165653</xdr:rowOff>
    </xdr:from>
    <xdr:to>
      <xdr:col>14</xdr:col>
      <xdr:colOff>899567</xdr:colOff>
      <xdr:row>77</xdr:row>
      <xdr:rowOff>131994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F9B4CF6-8A5B-14F1-1F12-7F901F69B9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746935" y="15728675"/>
          <a:ext cx="3829584" cy="363906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19</xdr:col>
      <xdr:colOff>772672</xdr:colOff>
      <xdr:row>74</xdr:row>
      <xdr:rowOff>91888</xdr:rowOff>
    </xdr:from>
    <xdr:to>
      <xdr:col>23</xdr:col>
      <xdr:colOff>738218</xdr:colOff>
      <xdr:row>77</xdr:row>
      <xdr:rowOff>98827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736C3AA6-1BA0-AD28-781C-98A2B1970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2027990" y="14605747"/>
          <a:ext cx="3121122" cy="598609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11</xdr:col>
      <xdr:colOff>712304</xdr:colOff>
      <xdr:row>90</xdr:row>
      <xdr:rowOff>0</xdr:rowOff>
    </xdr:from>
    <xdr:to>
      <xdr:col>14</xdr:col>
      <xdr:colOff>804514</xdr:colOff>
      <xdr:row>91</xdr:row>
      <xdr:rowOff>174650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8131F503-57AA-8041-6A38-0FC7EA4411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846326" y="18519913"/>
          <a:ext cx="4056311" cy="369622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19</xdr:col>
      <xdr:colOff>641571</xdr:colOff>
      <xdr:row>89</xdr:row>
      <xdr:rowOff>159275</xdr:rowOff>
    </xdr:from>
    <xdr:to>
      <xdr:col>23</xdr:col>
      <xdr:colOff>627574</xdr:colOff>
      <xdr:row>92</xdr:row>
      <xdr:rowOff>131808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E3701B3F-D9F0-CCAC-3B1B-264440C5D4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0834571" y="18480405"/>
          <a:ext cx="3142919" cy="578407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17</xdr:col>
      <xdr:colOff>201706</xdr:colOff>
      <xdr:row>4</xdr:row>
      <xdr:rowOff>161364</xdr:rowOff>
    </xdr:from>
    <xdr:to>
      <xdr:col>20</xdr:col>
      <xdr:colOff>369346</xdr:colOff>
      <xdr:row>16</xdr:row>
      <xdr:rowOff>91599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8C7B06A-AD7B-42E1-BFA4-6FCF01D524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8229730" y="932329"/>
          <a:ext cx="3914887" cy="2278988"/>
        </a:xfrm>
        <a:prstGeom prst="rect">
          <a:avLst/>
        </a:prstGeom>
      </xdr:spPr>
    </xdr:pic>
    <xdr:clientData/>
  </xdr:twoCellAnchor>
  <xdr:twoCellAnchor editAs="oneCell">
    <xdr:from>
      <xdr:col>21</xdr:col>
      <xdr:colOff>5715</xdr:colOff>
      <xdr:row>5</xdr:row>
      <xdr:rowOff>47625</xdr:rowOff>
    </xdr:from>
    <xdr:to>
      <xdr:col>25</xdr:col>
      <xdr:colOff>473365</xdr:colOff>
      <xdr:row>13</xdr:row>
      <xdr:rowOff>182880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48177EC2-F785-4270-BD17-EFEDDACCFC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2179915" y="1114425"/>
          <a:ext cx="3515651" cy="1964055"/>
        </a:xfrm>
        <a:prstGeom prst="rect">
          <a:avLst/>
        </a:prstGeom>
      </xdr:spPr>
    </xdr:pic>
    <xdr:clientData/>
  </xdr:twoCellAnchor>
  <xdr:twoCellAnchor editAs="oneCell">
    <xdr:from>
      <xdr:col>11</xdr:col>
      <xdr:colOff>528918</xdr:colOff>
      <xdr:row>104</xdr:row>
      <xdr:rowOff>161363</xdr:rowOff>
    </xdr:from>
    <xdr:to>
      <xdr:col>15</xdr:col>
      <xdr:colOff>1715939</xdr:colOff>
      <xdr:row>106</xdr:row>
      <xdr:rowOff>157496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93AF77EB-1B93-AEC4-F990-88F4A04F5D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2685059" y="20556069"/>
          <a:ext cx="6296904" cy="39058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11</xdr:col>
      <xdr:colOff>1129553</xdr:colOff>
      <xdr:row>120</xdr:row>
      <xdr:rowOff>98612</xdr:rowOff>
    </xdr:from>
    <xdr:to>
      <xdr:col>15</xdr:col>
      <xdr:colOff>1068625</xdr:colOff>
      <xdr:row>121</xdr:row>
      <xdr:rowOff>187179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721713A7-EE4F-8171-8D23-D59E8A5697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285694" y="23639930"/>
          <a:ext cx="5048955" cy="28579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7</xdr:col>
      <xdr:colOff>609600</xdr:colOff>
      <xdr:row>148</xdr:row>
      <xdr:rowOff>161925</xdr:rowOff>
    </xdr:from>
    <xdr:to>
      <xdr:col>15</xdr:col>
      <xdr:colOff>1676400</xdr:colOff>
      <xdr:row>183</xdr:row>
      <xdr:rowOff>57150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15C7867-D2CD-4B24-B449-64187CD26A31}"/>
            </a:ext>
            <a:ext uri="{147F2762-F138-4A5C-976F-8EAC2B608ADB}">
              <a16:predDERef xmlns:a16="http://schemas.microsoft.com/office/drawing/2014/main" pred="{721713A7-EE4F-8171-8D23-D59E8A5697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734300" y="28251150"/>
          <a:ext cx="11077575" cy="62293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556260</xdr:colOff>
      <xdr:row>17</xdr:row>
      <xdr:rowOff>190500</xdr:rowOff>
    </xdr:from>
    <xdr:to>
      <xdr:col>6</xdr:col>
      <xdr:colOff>628651</xdr:colOff>
      <xdr:row>21</xdr:row>
      <xdr:rowOff>7620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B9E97C1-3171-4D6D-816E-DB0D91B894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59580" y="6804660"/>
          <a:ext cx="2823211" cy="57150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5</xdr:col>
      <xdr:colOff>548640</xdr:colOff>
      <xdr:row>31</xdr:row>
      <xdr:rowOff>160020</xdr:rowOff>
    </xdr:from>
    <xdr:to>
      <xdr:col>6</xdr:col>
      <xdr:colOff>537447</xdr:colOff>
      <xdr:row>35</xdr:row>
      <xdr:rowOff>133448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4BDDDF6-1548-46A3-899D-183DDF6F05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83480" y="571500"/>
          <a:ext cx="1703307" cy="704948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oneCellAnchor>
    <xdr:from>
      <xdr:col>14</xdr:col>
      <xdr:colOff>548640</xdr:colOff>
      <xdr:row>17</xdr:row>
      <xdr:rowOff>160020</xdr:rowOff>
    </xdr:from>
    <xdr:ext cx="1703307" cy="765908"/>
    <xdr:pic>
      <xdr:nvPicPr>
        <xdr:cNvPr id="9" name="Imagen 8">
          <a:extLst>
            <a:ext uri="{FF2B5EF4-FFF2-40B4-BE49-F238E27FC236}">
              <a16:creationId xmlns:a16="http://schemas.microsoft.com/office/drawing/2014/main" id="{3CEE722D-8FB9-4734-81E9-A876A180B6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86700" y="6377940"/>
          <a:ext cx="1703307" cy="765908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701040</xdr:colOff>
      <xdr:row>4</xdr:row>
      <xdr:rowOff>106680</xdr:rowOff>
    </xdr:from>
    <xdr:ext cx="2324424" cy="1038370"/>
    <xdr:pic>
      <xdr:nvPicPr>
        <xdr:cNvPr id="5" name="Imagen 4">
          <a:extLst>
            <a:ext uri="{FF2B5EF4-FFF2-40B4-BE49-F238E27FC236}">
              <a16:creationId xmlns:a16="http://schemas.microsoft.com/office/drawing/2014/main" id="{B4073B4F-F668-4FDD-A80E-503D20D79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65420" y="685800"/>
          <a:ext cx="2324424" cy="1038370"/>
        </a:xfrm>
        <a:prstGeom prst="rect">
          <a:avLst/>
        </a:prstGeom>
      </xdr:spPr>
    </xdr:pic>
    <xdr:clientData/>
  </xdr:oneCellAnchor>
  <xdr:twoCellAnchor editAs="oneCell">
    <xdr:from>
      <xdr:col>24</xdr:col>
      <xdr:colOff>220980</xdr:colOff>
      <xdr:row>0</xdr:row>
      <xdr:rowOff>137160</xdr:rowOff>
    </xdr:from>
    <xdr:to>
      <xdr:col>32</xdr:col>
      <xdr:colOff>705803</xdr:colOff>
      <xdr:row>24</xdr:row>
      <xdr:rowOff>54005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C892D13F-5B58-D85B-4A4A-0768EBACF3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488400" y="137160"/>
          <a:ext cx="6811327" cy="4763165"/>
        </a:xfrm>
        <a:prstGeom prst="rect">
          <a:avLst/>
        </a:prstGeom>
      </xdr:spPr>
    </xdr:pic>
    <xdr:clientData/>
  </xdr:twoCellAnchor>
  <xdr:twoCellAnchor editAs="oneCell">
    <xdr:from>
      <xdr:col>4</xdr:col>
      <xdr:colOff>708660</xdr:colOff>
      <xdr:row>4</xdr:row>
      <xdr:rowOff>162513</xdr:rowOff>
    </xdr:from>
    <xdr:to>
      <xdr:col>7</xdr:col>
      <xdr:colOff>288471</xdr:colOff>
      <xdr:row>10</xdr:row>
      <xdr:rowOff>55383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FE3FDBEA-F1C9-4FEC-41B6-331365E528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69280" y="1054053"/>
          <a:ext cx="2636519" cy="1102545"/>
        </a:xfrm>
        <a:prstGeom prst="rect">
          <a:avLst/>
        </a:prstGeom>
      </xdr:spPr>
    </xdr:pic>
    <xdr:clientData/>
  </xdr:twoCellAnchor>
  <xdr:twoCellAnchor editAs="oneCell">
    <xdr:from>
      <xdr:col>5</xdr:col>
      <xdr:colOff>30481</xdr:colOff>
      <xdr:row>34</xdr:row>
      <xdr:rowOff>121920</xdr:rowOff>
    </xdr:from>
    <xdr:to>
      <xdr:col>7</xdr:col>
      <xdr:colOff>438425</xdr:colOff>
      <xdr:row>39</xdr:row>
      <xdr:rowOff>19684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9865C434-EB8E-C051-9BFF-3195B80ED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35981" y="4274820"/>
          <a:ext cx="2377440" cy="875029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17</xdr:col>
      <xdr:colOff>160020</xdr:colOff>
      <xdr:row>18</xdr:row>
      <xdr:rowOff>99060</xdr:rowOff>
    </xdr:from>
    <xdr:to>
      <xdr:col>20</xdr:col>
      <xdr:colOff>190501</xdr:colOff>
      <xdr:row>24</xdr:row>
      <xdr:rowOff>97656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1595CE79-9888-A20F-2E31-52BB7334FC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453360" y="3764280"/>
          <a:ext cx="2834640" cy="1183506"/>
        </a:xfrm>
        <a:prstGeom prst="rect">
          <a:avLst/>
        </a:prstGeom>
      </xdr:spPr>
    </xdr:pic>
    <xdr:clientData/>
  </xdr:twoCellAnchor>
  <xdr:twoCellAnchor editAs="oneCell">
    <xdr:from>
      <xdr:col>17</xdr:col>
      <xdr:colOff>1028700</xdr:colOff>
      <xdr:row>34</xdr:row>
      <xdr:rowOff>99060</xdr:rowOff>
    </xdr:from>
    <xdr:to>
      <xdr:col>20</xdr:col>
      <xdr:colOff>364154</xdr:colOff>
      <xdr:row>37</xdr:row>
      <xdr:rowOff>152490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397CF640-6E51-855F-54D2-FC46D9E048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421100" y="7025640"/>
          <a:ext cx="2143424" cy="64779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25</xdr:col>
      <xdr:colOff>152400</xdr:colOff>
      <xdr:row>24</xdr:row>
      <xdr:rowOff>121920</xdr:rowOff>
    </xdr:from>
    <xdr:to>
      <xdr:col>30</xdr:col>
      <xdr:colOff>95249</xdr:colOff>
      <xdr:row>37</xdr:row>
      <xdr:rowOff>55965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C193F8D4-1C42-41B8-8E2E-99527E9E5A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608540" y="4975860"/>
          <a:ext cx="3901440" cy="2597235"/>
        </a:xfrm>
        <a:prstGeom prst="rect">
          <a:avLst/>
        </a:prstGeom>
      </xdr:spPr>
    </xdr:pic>
    <xdr:clientData/>
  </xdr:twoCellAnchor>
  <xdr:twoCellAnchor editAs="oneCell">
    <xdr:from>
      <xdr:col>25</xdr:col>
      <xdr:colOff>462915</xdr:colOff>
      <xdr:row>39</xdr:row>
      <xdr:rowOff>1905</xdr:rowOff>
    </xdr:from>
    <xdr:to>
      <xdr:col>30</xdr:col>
      <xdr:colOff>19975</xdr:colOff>
      <xdr:row>49</xdr:row>
      <xdr:rowOff>38100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1C8F377C-20C6-4B0E-8D5B-0AC6597DA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919055" y="7919085"/>
          <a:ext cx="3515651" cy="1964055"/>
        </a:xfrm>
        <a:prstGeom prst="rect">
          <a:avLst/>
        </a:prstGeom>
      </xdr:spPr>
    </xdr:pic>
    <xdr:clientData/>
  </xdr:twoCellAnchor>
  <xdr:twoCellAnchor editAs="oneCell">
    <xdr:from>
      <xdr:col>6</xdr:col>
      <xdr:colOff>54430</xdr:colOff>
      <xdr:row>20</xdr:row>
      <xdr:rowOff>54430</xdr:rowOff>
    </xdr:from>
    <xdr:to>
      <xdr:col>11</xdr:col>
      <xdr:colOff>97489</xdr:colOff>
      <xdr:row>22</xdr:row>
      <xdr:rowOff>1409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B674F58C-9202-0532-A935-437E487760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053944" y="4114801"/>
          <a:ext cx="4324954" cy="3334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books.google.com.pe/books?id=jPTppKDvIv8C&amp;pg=PA21&amp;hl=es&amp;source=gbs_toc_r&amp;cad=1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5B6C7-5611-4F4F-A809-DB7AC1843F53}">
  <dimension ref="A2:V35"/>
  <sheetViews>
    <sheetView workbookViewId="0">
      <selection activeCell="T15" sqref="T15"/>
    </sheetView>
  </sheetViews>
  <sheetFormatPr baseColWidth="10" defaultColWidth="11.44140625" defaultRowHeight="14.4"/>
  <cols>
    <col min="2" max="2" width="4.6640625" style="1" bestFit="1" customWidth="1"/>
    <col min="3" max="3" width="5.33203125" bestFit="1" customWidth="1"/>
    <col min="4" max="4" width="3.5546875" bestFit="1" customWidth="1"/>
    <col min="5" max="5" width="5.88671875" bestFit="1" customWidth="1"/>
    <col min="6" max="6" width="5.44140625" bestFit="1" customWidth="1"/>
    <col min="7" max="7" width="6" bestFit="1" customWidth="1"/>
    <col min="8" max="8" width="4.88671875" bestFit="1" customWidth="1"/>
    <col min="9" max="9" width="4.5546875" bestFit="1" customWidth="1"/>
    <col min="10" max="10" width="5.6640625" bestFit="1" customWidth="1"/>
    <col min="11" max="11" width="4.88671875" bestFit="1" customWidth="1"/>
    <col min="12" max="12" width="5.33203125" bestFit="1" customWidth="1"/>
    <col min="13" max="13" width="5.5546875" bestFit="1" customWidth="1"/>
    <col min="14" max="15" width="4.6640625" bestFit="1" customWidth="1"/>
    <col min="16" max="16" width="4.6640625" customWidth="1"/>
    <col min="17" max="17" width="16.33203125" customWidth="1"/>
    <col min="18" max="18" width="13.88671875" customWidth="1"/>
    <col min="19" max="19" width="11.5546875" style="1"/>
  </cols>
  <sheetData>
    <row r="2" spans="1:22" ht="16.2" thickBot="1">
      <c r="A2" s="2"/>
      <c r="B2" s="3"/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</row>
    <row r="3" spans="1:22" ht="16.2" thickBot="1">
      <c r="A3" s="2"/>
      <c r="B3" s="10" t="s">
        <v>0</v>
      </c>
      <c r="C3" s="10" t="s">
        <v>1</v>
      </c>
      <c r="D3" s="10" t="s">
        <v>2</v>
      </c>
      <c r="E3" s="10" t="s">
        <v>3</v>
      </c>
      <c r="F3" s="10" t="s">
        <v>4</v>
      </c>
      <c r="G3" s="10" t="s">
        <v>5</v>
      </c>
      <c r="H3" s="10" t="s">
        <v>6</v>
      </c>
      <c r="I3" s="10" t="s">
        <v>7</v>
      </c>
      <c r="J3" s="10" t="s">
        <v>8</v>
      </c>
      <c r="K3" s="10" t="s">
        <v>9</v>
      </c>
      <c r="L3" s="10" t="s">
        <v>10</v>
      </c>
      <c r="M3" s="10" t="s">
        <v>11</v>
      </c>
      <c r="N3" s="10" t="s">
        <v>12</v>
      </c>
      <c r="O3" s="10" t="s">
        <v>0</v>
      </c>
      <c r="P3" s="2"/>
    </row>
    <row r="4" spans="1:22" ht="16.2" thickBot="1">
      <c r="A4" s="2"/>
      <c r="B4" s="11">
        <v>1</v>
      </c>
      <c r="C4" s="6">
        <v>1</v>
      </c>
      <c r="D4" s="5">
        <v>32</v>
      </c>
      <c r="E4" s="5">
        <v>60</v>
      </c>
      <c r="F4" s="5">
        <v>91</v>
      </c>
      <c r="G4" s="5">
        <v>121</v>
      </c>
      <c r="H4" s="5">
        <v>152</v>
      </c>
      <c r="I4" s="5">
        <v>182</v>
      </c>
      <c r="J4" s="5">
        <v>213</v>
      </c>
      <c r="K4" s="5">
        <v>244</v>
      </c>
      <c r="L4" s="5">
        <v>274</v>
      </c>
      <c r="M4" s="5">
        <v>305</v>
      </c>
      <c r="N4" s="8">
        <v>335</v>
      </c>
      <c r="O4" s="11">
        <v>1</v>
      </c>
      <c r="P4" s="2"/>
    </row>
    <row r="5" spans="1:22" ht="16.2" thickBot="1">
      <c r="A5" s="2"/>
      <c r="B5" s="11">
        <v>2</v>
      </c>
      <c r="C5" s="7">
        <v>2</v>
      </c>
      <c r="D5" s="4">
        <v>33</v>
      </c>
      <c r="E5" s="4">
        <v>61</v>
      </c>
      <c r="F5" s="4">
        <v>92</v>
      </c>
      <c r="G5" s="4">
        <v>122</v>
      </c>
      <c r="H5" s="4">
        <v>153</v>
      </c>
      <c r="I5" s="4">
        <v>183</v>
      </c>
      <c r="J5" s="4">
        <v>214</v>
      </c>
      <c r="K5" s="4">
        <v>245</v>
      </c>
      <c r="L5" s="4">
        <v>275</v>
      </c>
      <c r="M5" s="4">
        <v>306</v>
      </c>
      <c r="N5" s="9">
        <v>336</v>
      </c>
      <c r="O5" s="11">
        <v>2</v>
      </c>
      <c r="P5" s="2"/>
      <c r="Q5" s="281" t="s">
        <v>13</v>
      </c>
      <c r="R5" s="12" t="s">
        <v>14</v>
      </c>
      <c r="S5" s="13">
        <f>C4</f>
        <v>1</v>
      </c>
      <c r="T5" s="282">
        <f>S6-S5</f>
        <v>101</v>
      </c>
    </row>
    <row r="6" spans="1:22" ht="16.2" thickBot="1">
      <c r="A6" s="2"/>
      <c r="B6" s="11">
        <v>3</v>
      </c>
      <c r="C6" s="7">
        <v>3</v>
      </c>
      <c r="D6" s="4">
        <v>34</v>
      </c>
      <c r="E6" s="4">
        <v>62</v>
      </c>
      <c r="F6" s="4">
        <v>93</v>
      </c>
      <c r="G6" s="4">
        <v>123</v>
      </c>
      <c r="H6" s="4">
        <v>154</v>
      </c>
      <c r="I6" s="4">
        <v>184</v>
      </c>
      <c r="J6" s="4">
        <v>215</v>
      </c>
      <c r="K6" s="4">
        <v>246</v>
      </c>
      <c r="L6" s="4">
        <v>276</v>
      </c>
      <c r="M6" s="4">
        <v>307</v>
      </c>
      <c r="N6" s="9">
        <v>337</v>
      </c>
      <c r="O6" s="11">
        <v>3</v>
      </c>
      <c r="P6" s="2"/>
      <c r="Q6" s="281"/>
      <c r="R6" s="12" t="s">
        <v>15</v>
      </c>
      <c r="S6" s="13">
        <f>F15</f>
        <v>102</v>
      </c>
      <c r="T6" s="282"/>
    </row>
    <row r="7" spans="1:22" ht="16.2" thickBot="1">
      <c r="A7" s="2"/>
      <c r="B7" s="11">
        <v>4</v>
      </c>
      <c r="C7" s="7">
        <v>4</v>
      </c>
      <c r="D7" s="4">
        <v>35</v>
      </c>
      <c r="E7" s="4">
        <v>63</v>
      </c>
      <c r="F7" s="4">
        <v>94</v>
      </c>
      <c r="G7" s="4">
        <v>124</v>
      </c>
      <c r="H7" s="4">
        <v>155</v>
      </c>
      <c r="I7" s="4">
        <v>185</v>
      </c>
      <c r="J7" s="4">
        <v>216</v>
      </c>
      <c r="K7" s="4">
        <v>247</v>
      </c>
      <c r="L7" s="4">
        <v>277</v>
      </c>
      <c r="M7" s="4">
        <v>308</v>
      </c>
      <c r="N7" s="9">
        <v>338</v>
      </c>
      <c r="O7" s="11">
        <v>4</v>
      </c>
      <c r="P7" s="2"/>
    </row>
    <row r="8" spans="1:22" ht="16.2" thickBot="1">
      <c r="A8" s="2"/>
      <c r="B8" s="11">
        <v>5</v>
      </c>
      <c r="C8" s="7">
        <v>5</v>
      </c>
      <c r="D8" s="4">
        <v>36</v>
      </c>
      <c r="E8" s="4">
        <v>64</v>
      </c>
      <c r="F8" s="4">
        <v>95</v>
      </c>
      <c r="G8" s="4">
        <v>125</v>
      </c>
      <c r="H8" s="4">
        <v>156</v>
      </c>
      <c r="I8" s="4">
        <v>186</v>
      </c>
      <c r="J8" s="4">
        <v>217</v>
      </c>
      <c r="K8" s="4">
        <v>248</v>
      </c>
      <c r="L8" s="4">
        <v>278</v>
      </c>
      <c r="M8" s="4">
        <v>309</v>
      </c>
      <c r="N8" s="9">
        <v>339</v>
      </c>
      <c r="O8" s="11">
        <v>5</v>
      </c>
      <c r="P8" s="2"/>
    </row>
    <row r="9" spans="1:22" ht="16.2" thickBot="1">
      <c r="A9" s="2"/>
      <c r="B9" s="11">
        <v>6</v>
      </c>
      <c r="C9" s="7">
        <v>6</v>
      </c>
      <c r="D9" s="4">
        <v>37</v>
      </c>
      <c r="E9" s="4">
        <v>65</v>
      </c>
      <c r="F9" s="4">
        <v>96</v>
      </c>
      <c r="G9" s="4">
        <v>126</v>
      </c>
      <c r="H9" s="4">
        <v>157</v>
      </c>
      <c r="I9" s="4">
        <v>187</v>
      </c>
      <c r="J9" s="4">
        <v>218</v>
      </c>
      <c r="K9" s="4">
        <v>249</v>
      </c>
      <c r="L9" s="4">
        <v>279</v>
      </c>
      <c r="M9" s="4">
        <v>310</v>
      </c>
      <c r="N9" s="9">
        <v>340</v>
      </c>
      <c r="O9" s="11">
        <v>6</v>
      </c>
      <c r="P9" s="2"/>
      <c r="R9" s="161" t="s">
        <v>16</v>
      </c>
    </row>
    <row r="10" spans="1:22" ht="16.2" thickBot="1">
      <c r="A10" s="2"/>
      <c r="B10" s="11">
        <v>7</v>
      </c>
      <c r="C10" s="7">
        <v>7</v>
      </c>
      <c r="D10" s="4">
        <v>38</v>
      </c>
      <c r="E10" s="4">
        <v>66</v>
      </c>
      <c r="F10" s="4">
        <v>97</v>
      </c>
      <c r="G10" s="4">
        <v>127</v>
      </c>
      <c r="H10" s="4">
        <v>158</v>
      </c>
      <c r="I10" s="4">
        <v>188</v>
      </c>
      <c r="J10" s="4">
        <v>219</v>
      </c>
      <c r="K10" s="4">
        <v>250</v>
      </c>
      <c r="L10" s="4">
        <v>280</v>
      </c>
      <c r="M10" s="4">
        <v>311</v>
      </c>
      <c r="N10" s="9">
        <v>341</v>
      </c>
      <c r="O10" s="11">
        <v>7</v>
      </c>
      <c r="P10" s="2"/>
    </row>
    <row r="11" spans="1:22" ht="16.2" thickBot="1">
      <c r="A11" s="2"/>
      <c r="B11" s="11">
        <v>8</v>
      </c>
      <c r="C11" s="7">
        <v>8</v>
      </c>
      <c r="D11" s="4">
        <v>39</v>
      </c>
      <c r="E11" s="4">
        <v>67</v>
      </c>
      <c r="F11" s="4">
        <v>98</v>
      </c>
      <c r="G11" s="4">
        <v>128</v>
      </c>
      <c r="H11" s="4">
        <v>159</v>
      </c>
      <c r="I11" s="4">
        <v>189</v>
      </c>
      <c r="J11" s="4">
        <v>220</v>
      </c>
      <c r="K11" s="4">
        <v>251</v>
      </c>
      <c r="L11" s="4">
        <v>281</v>
      </c>
      <c r="M11" s="4">
        <v>312</v>
      </c>
      <c r="N11" s="9">
        <v>342</v>
      </c>
      <c r="O11" s="11">
        <v>8</v>
      </c>
      <c r="P11" s="2"/>
    </row>
    <row r="12" spans="1:22" ht="16.2" thickBot="1">
      <c r="A12" s="2"/>
      <c r="B12" s="11">
        <v>9</v>
      </c>
      <c r="C12" s="7">
        <v>9</v>
      </c>
      <c r="D12" s="4">
        <v>40</v>
      </c>
      <c r="E12" s="4">
        <v>68</v>
      </c>
      <c r="F12" s="4">
        <v>99</v>
      </c>
      <c r="G12" s="4">
        <v>129</v>
      </c>
      <c r="H12" s="4">
        <v>160</v>
      </c>
      <c r="I12" s="4">
        <v>190</v>
      </c>
      <c r="J12" s="4">
        <v>221</v>
      </c>
      <c r="K12" s="4">
        <v>252</v>
      </c>
      <c r="L12" s="4">
        <v>282</v>
      </c>
      <c r="M12" s="4">
        <v>313</v>
      </c>
      <c r="N12" s="9">
        <v>343</v>
      </c>
      <c r="O12" s="11">
        <v>9</v>
      </c>
      <c r="P12" s="2"/>
      <c r="R12" s="194">
        <v>43414</v>
      </c>
      <c r="T12" s="283">
        <f>R13-R12</f>
        <v>242</v>
      </c>
    </row>
    <row r="13" spans="1:22" ht="16.2" thickBot="1">
      <c r="A13" s="2"/>
      <c r="B13" s="11">
        <v>10</v>
      </c>
      <c r="C13" s="7">
        <v>10</v>
      </c>
      <c r="D13" s="4">
        <v>41</v>
      </c>
      <c r="E13" s="4">
        <v>69</v>
      </c>
      <c r="F13" s="4">
        <v>100</v>
      </c>
      <c r="G13" s="4">
        <v>130</v>
      </c>
      <c r="H13" s="4">
        <v>161</v>
      </c>
      <c r="I13" s="4">
        <v>191</v>
      </c>
      <c r="J13" s="4">
        <v>222</v>
      </c>
      <c r="K13" s="4">
        <v>253</v>
      </c>
      <c r="L13" s="4">
        <v>283</v>
      </c>
      <c r="M13" s="4">
        <v>314</v>
      </c>
      <c r="N13" s="9">
        <v>344</v>
      </c>
      <c r="O13" s="11">
        <v>10</v>
      </c>
      <c r="P13" s="2"/>
      <c r="R13" s="194">
        <v>43656</v>
      </c>
      <c r="T13" s="283"/>
      <c r="V13">
        <f>T12+T14</f>
        <v>413</v>
      </c>
    </row>
    <row r="14" spans="1:22" ht="16.2" thickBot="1">
      <c r="A14" s="2"/>
      <c r="B14" s="11">
        <v>11</v>
      </c>
      <c r="C14" s="7">
        <v>11</v>
      </c>
      <c r="D14" s="4">
        <v>42</v>
      </c>
      <c r="E14" s="4">
        <v>70</v>
      </c>
      <c r="F14" s="4">
        <v>101</v>
      </c>
      <c r="G14" s="4">
        <v>131</v>
      </c>
      <c r="H14" s="4">
        <v>162</v>
      </c>
      <c r="I14" s="4">
        <v>192</v>
      </c>
      <c r="J14" s="4">
        <v>223</v>
      </c>
      <c r="K14" s="4">
        <v>254</v>
      </c>
      <c r="L14" s="4">
        <v>284</v>
      </c>
      <c r="M14" s="4">
        <v>315</v>
      </c>
      <c r="N14" s="9">
        <v>345</v>
      </c>
      <c r="O14" s="11">
        <v>11</v>
      </c>
      <c r="P14" s="2"/>
      <c r="R14" s="194">
        <v>43827</v>
      </c>
      <c r="T14" s="1">
        <f>R14-R13</f>
        <v>171</v>
      </c>
    </row>
    <row r="15" spans="1:22" ht="16.2" thickBot="1">
      <c r="A15" s="2"/>
      <c r="B15" s="11">
        <v>12</v>
      </c>
      <c r="C15" s="7">
        <v>12</v>
      </c>
      <c r="D15" s="4">
        <v>43</v>
      </c>
      <c r="E15" s="4">
        <v>71</v>
      </c>
      <c r="F15" s="4">
        <v>102</v>
      </c>
      <c r="G15" s="4">
        <v>132</v>
      </c>
      <c r="H15" s="4">
        <v>163</v>
      </c>
      <c r="I15" s="4">
        <v>193</v>
      </c>
      <c r="J15" s="4">
        <v>224</v>
      </c>
      <c r="K15" s="4">
        <v>255</v>
      </c>
      <c r="L15" s="4">
        <v>285</v>
      </c>
      <c r="M15" s="4">
        <v>316</v>
      </c>
      <c r="N15" s="9">
        <v>346</v>
      </c>
      <c r="O15" s="11">
        <v>12</v>
      </c>
      <c r="P15" s="2"/>
      <c r="R15" s="194">
        <v>43843</v>
      </c>
      <c r="T15" s="1">
        <f>R15-R14</f>
        <v>16</v>
      </c>
    </row>
    <row r="16" spans="1:22" ht="16.2" thickBot="1">
      <c r="A16" s="2"/>
      <c r="B16" s="11">
        <v>13</v>
      </c>
      <c r="C16" s="7">
        <v>13</v>
      </c>
      <c r="D16" s="4">
        <v>44</v>
      </c>
      <c r="E16" s="4">
        <v>72</v>
      </c>
      <c r="F16" s="4">
        <v>103</v>
      </c>
      <c r="G16" s="4">
        <v>133</v>
      </c>
      <c r="H16" s="4">
        <v>164</v>
      </c>
      <c r="I16" s="4">
        <v>194</v>
      </c>
      <c r="J16" s="4">
        <v>225</v>
      </c>
      <c r="K16" s="4">
        <v>256</v>
      </c>
      <c r="L16" s="4">
        <v>286</v>
      </c>
      <c r="M16" s="4">
        <v>317</v>
      </c>
      <c r="N16" s="9">
        <v>347</v>
      </c>
      <c r="O16" s="11">
        <v>13</v>
      </c>
      <c r="P16" s="2"/>
      <c r="R16" s="194">
        <v>43933</v>
      </c>
      <c r="T16" s="1">
        <f>R16-R15</f>
        <v>90</v>
      </c>
    </row>
    <row r="17" spans="1:20" ht="16.2" thickBot="1">
      <c r="A17" s="2"/>
      <c r="B17" s="11">
        <v>14</v>
      </c>
      <c r="C17" s="7">
        <v>14</v>
      </c>
      <c r="D17" s="4">
        <v>45</v>
      </c>
      <c r="E17" s="4">
        <v>73</v>
      </c>
      <c r="F17" s="4">
        <v>104</v>
      </c>
      <c r="G17" s="4">
        <v>134</v>
      </c>
      <c r="H17" s="4">
        <v>165</v>
      </c>
      <c r="I17" s="4">
        <v>195</v>
      </c>
      <c r="J17" s="4">
        <v>226</v>
      </c>
      <c r="K17" s="4">
        <v>257</v>
      </c>
      <c r="L17" s="4">
        <v>287</v>
      </c>
      <c r="M17" s="4">
        <v>318</v>
      </c>
      <c r="N17" s="9">
        <v>348</v>
      </c>
      <c r="O17" s="11">
        <v>14</v>
      </c>
      <c r="P17" s="2"/>
      <c r="R17" s="194">
        <v>44329</v>
      </c>
      <c r="T17" s="1">
        <f>R17-R16</f>
        <v>396</v>
      </c>
    </row>
    <row r="18" spans="1:20" ht="16.2" thickBot="1">
      <c r="A18" s="2"/>
      <c r="B18" s="11">
        <v>15</v>
      </c>
      <c r="C18" s="7">
        <v>15</v>
      </c>
      <c r="D18" s="4">
        <v>46</v>
      </c>
      <c r="E18" s="4">
        <v>74</v>
      </c>
      <c r="F18" s="4">
        <v>105</v>
      </c>
      <c r="G18" s="4">
        <v>135</v>
      </c>
      <c r="H18" s="4">
        <v>166</v>
      </c>
      <c r="I18" s="4">
        <v>196</v>
      </c>
      <c r="J18" s="4">
        <v>227</v>
      </c>
      <c r="K18" s="4">
        <v>258</v>
      </c>
      <c r="L18" s="4">
        <v>288</v>
      </c>
      <c r="M18" s="4">
        <v>319</v>
      </c>
      <c r="N18" s="9">
        <v>349</v>
      </c>
      <c r="O18" s="11">
        <v>15</v>
      </c>
      <c r="P18" s="2"/>
    </row>
    <row r="19" spans="1:20" ht="16.2" thickBot="1">
      <c r="A19" s="2"/>
      <c r="B19" s="11">
        <v>16</v>
      </c>
      <c r="C19" s="7">
        <v>16</v>
      </c>
      <c r="D19" s="4">
        <v>47</v>
      </c>
      <c r="E19" s="4">
        <v>75</v>
      </c>
      <c r="F19" s="4">
        <v>106</v>
      </c>
      <c r="G19" s="4">
        <v>136</v>
      </c>
      <c r="H19" s="4">
        <v>167</v>
      </c>
      <c r="I19" s="4">
        <v>197</v>
      </c>
      <c r="J19" s="4">
        <v>228</v>
      </c>
      <c r="K19" s="4">
        <v>259</v>
      </c>
      <c r="L19" s="4">
        <v>289</v>
      </c>
      <c r="M19" s="4">
        <v>320</v>
      </c>
      <c r="N19" s="9">
        <v>350</v>
      </c>
      <c r="O19" s="11">
        <v>16</v>
      </c>
      <c r="P19" s="2"/>
    </row>
    <row r="20" spans="1:20" ht="16.2" thickBot="1">
      <c r="A20" s="2"/>
      <c r="B20" s="11">
        <v>17</v>
      </c>
      <c r="C20" s="7">
        <v>17</v>
      </c>
      <c r="D20" s="4">
        <v>48</v>
      </c>
      <c r="E20" s="4">
        <v>76</v>
      </c>
      <c r="F20" s="4">
        <v>107</v>
      </c>
      <c r="G20" s="4">
        <v>137</v>
      </c>
      <c r="H20" s="4">
        <v>168</v>
      </c>
      <c r="I20" s="4">
        <v>198</v>
      </c>
      <c r="J20" s="4">
        <v>229</v>
      </c>
      <c r="K20" s="4">
        <v>260</v>
      </c>
      <c r="L20" s="4">
        <v>290</v>
      </c>
      <c r="M20" s="4">
        <v>321</v>
      </c>
      <c r="N20" s="9">
        <v>351</v>
      </c>
      <c r="O20" s="11">
        <v>17</v>
      </c>
      <c r="P20" s="2"/>
    </row>
    <row r="21" spans="1:20" ht="16.2" thickBot="1">
      <c r="A21" s="2"/>
      <c r="B21" s="11">
        <v>18</v>
      </c>
      <c r="C21" s="7">
        <v>18</v>
      </c>
      <c r="D21" s="4">
        <v>49</v>
      </c>
      <c r="E21" s="4">
        <v>77</v>
      </c>
      <c r="F21" s="4">
        <v>108</v>
      </c>
      <c r="G21" s="4">
        <v>138</v>
      </c>
      <c r="H21" s="4">
        <v>169</v>
      </c>
      <c r="I21" s="4">
        <v>199</v>
      </c>
      <c r="J21" s="4">
        <v>230</v>
      </c>
      <c r="K21" s="4">
        <v>261</v>
      </c>
      <c r="L21" s="4">
        <v>291</v>
      </c>
      <c r="M21" s="4">
        <v>322</v>
      </c>
      <c r="N21" s="9">
        <v>352</v>
      </c>
      <c r="O21" s="11">
        <v>18</v>
      </c>
      <c r="P21" s="2"/>
    </row>
    <row r="22" spans="1:20" ht="16.2" thickBot="1">
      <c r="A22" s="2"/>
      <c r="B22" s="11">
        <v>19</v>
      </c>
      <c r="C22" s="7">
        <v>19</v>
      </c>
      <c r="D22" s="4">
        <v>50</v>
      </c>
      <c r="E22" s="4">
        <v>78</v>
      </c>
      <c r="F22" s="4">
        <v>109</v>
      </c>
      <c r="G22" s="4">
        <v>139</v>
      </c>
      <c r="H22" s="4">
        <v>170</v>
      </c>
      <c r="I22" s="4">
        <v>200</v>
      </c>
      <c r="J22" s="4">
        <v>231</v>
      </c>
      <c r="K22" s="4">
        <v>262</v>
      </c>
      <c r="L22" s="4">
        <v>292</v>
      </c>
      <c r="M22" s="4">
        <v>323</v>
      </c>
      <c r="N22" s="9">
        <v>353</v>
      </c>
      <c r="O22" s="11">
        <v>19</v>
      </c>
      <c r="P22" s="2"/>
    </row>
    <row r="23" spans="1:20" ht="16.2" thickBot="1">
      <c r="A23" s="2"/>
      <c r="B23" s="11">
        <v>20</v>
      </c>
      <c r="C23" s="7">
        <v>20</v>
      </c>
      <c r="D23" s="4">
        <v>51</v>
      </c>
      <c r="E23" s="4">
        <v>79</v>
      </c>
      <c r="F23" s="4">
        <v>110</v>
      </c>
      <c r="G23" s="4">
        <v>140</v>
      </c>
      <c r="H23" s="4">
        <v>171</v>
      </c>
      <c r="I23" s="4">
        <v>201</v>
      </c>
      <c r="J23" s="4">
        <v>232</v>
      </c>
      <c r="K23" s="4">
        <v>263</v>
      </c>
      <c r="L23" s="4">
        <v>293</v>
      </c>
      <c r="M23" s="4">
        <v>324</v>
      </c>
      <c r="N23" s="9">
        <v>354</v>
      </c>
      <c r="O23" s="11">
        <v>20</v>
      </c>
      <c r="P23" s="2"/>
    </row>
    <row r="24" spans="1:20" ht="16.2" thickBot="1">
      <c r="A24" s="2"/>
      <c r="B24" s="11">
        <v>21</v>
      </c>
      <c r="C24" s="7">
        <v>21</v>
      </c>
      <c r="D24" s="4">
        <v>52</v>
      </c>
      <c r="E24" s="4">
        <v>80</v>
      </c>
      <c r="F24" s="4">
        <v>111</v>
      </c>
      <c r="G24" s="4">
        <v>141</v>
      </c>
      <c r="H24" s="4">
        <v>172</v>
      </c>
      <c r="I24" s="4">
        <v>202</v>
      </c>
      <c r="J24" s="4">
        <v>233</v>
      </c>
      <c r="K24" s="4">
        <v>264</v>
      </c>
      <c r="L24" s="4">
        <v>294</v>
      </c>
      <c r="M24" s="4">
        <v>325</v>
      </c>
      <c r="N24" s="9">
        <v>355</v>
      </c>
      <c r="O24" s="11">
        <v>21</v>
      </c>
      <c r="P24" s="2"/>
    </row>
    <row r="25" spans="1:20" ht="16.2" thickBot="1">
      <c r="A25" s="2"/>
      <c r="B25" s="11">
        <v>22</v>
      </c>
      <c r="C25" s="7">
        <v>22</v>
      </c>
      <c r="D25" s="4">
        <v>53</v>
      </c>
      <c r="E25" s="4">
        <v>81</v>
      </c>
      <c r="F25" s="4">
        <v>112</v>
      </c>
      <c r="G25" s="4">
        <v>142</v>
      </c>
      <c r="H25" s="4">
        <v>173</v>
      </c>
      <c r="I25" s="4">
        <v>203</v>
      </c>
      <c r="J25" s="4">
        <v>234</v>
      </c>
      <c r="K25" s="4">
        <v>265</v>
      </c>
      <c r="L25" s="4">
        <v>295</v>
      </c>
      <c r="M25" s="4">
        <v>326</v>
      </c>
      <c r="N25" s="9">
        <v>356</v>
      </c>
      <c r="O25" s="11">
        <v>22</v>
      </c>
      <c r="P25" s="2"/>
    </row>
    <row r="26" spans="1:20" ht="16.2" thickBot="1">
      <c r="A26" s="2"/>
      <c r="B26" s="11">
        <v>23</v>
      </c>
      <c r="C26" s="7">
        <v>23</v>
      </c>
      <c r="D26" s="4">
        <v>54</v>
      </c>
      <c r="E26" s="4">
        <v>82</v>
      </c>
      <c r="F26" s="4">
        <v>113</v>
      </c>
      <c r="G26" s="4">
        <v>143</v>
      </c>
      <c r="H26" s="4">
        <v>174</v>
      </c>
      <c r="I26" s="4">
        <v>204</v>
      </c>
      <c r="J26" s="4">
        <v>235</v>
      </c>
      <c r="K26" s="4">
        <v>266</v>
      </c>
      <c r="L26" s="4">
        <v>296</v>
      </c>
      <c r="M26" s="4">
        <v>327</v>
      </c>
      <c r="N26" s="9">
        <v>357</v>
      </c>
      <c r="O26" s="11">
        <v>23</v>
      </c>
      <c r="P26" s="2"/>
    </row>
    <row r="27" spans="1:20" ht="16.2" thickBot="1">
      <c r="A27" s="2"/>
      <c r="B27" s="11">
        <v>24</v>
      </c>
      <c r="C27" s="7">
        <v>24</v>
      </c>
      <c r="D27" s="4">
        <v>55</v>
      </c>
      <c r="E27" s="4">
        <v>83</v>
      </c>
      <c r="F27" s="4">
        <v>114</v>
      </c>
      <c r="G27" s="4">
        <v>144</v>
      </c>
      <c r="H27" s="4">
        <v>175</v>
      </c>
      <c r="I27" s="4">
        <v>205</v>
      </c>
      <c r="J27" s="4">
        <v>236</v>
      </c>
      <c r="K27" s="4">
        <v>267</v>
      </c>
      <c r="L27" s="4">
        <v>297</v>
      </c>
      <c r="M27" s="4">
        <v>328</v>
      </c>
      <c r="N27" s="9">
        <v>358</v>
      </c>
      <c r="O27" s="11">
        <v>24</v>
      </c>
      <c r="P27" s="2"/>
    </row>
    <row r="28" spans="1:20" ht="16.2" thickBot="1">
      <c r="A28" s="2"/>
      <c r="B28" s="11">
        <v>25</v>
      </c>
      <c r="C28" s="7">
        <v>25</v>
      </c>
      <c r="D28" s="4">
        <v>56</v>
      </c>
      <c r="E28" s="4">
        <v>84</v>
      </c>
      <c r="F28" s="4">
        <v>115</v>
      </c>
      <c r="G28" s="4">
        <v>145</v>
      </c>
      <c r="H28" s="4">
        <v>176</v>
      </c>
      <c r="I28" s="4">
        <v>206</v>
      </c>
      <c r="J28" s="4">
        <v>237</v>
      </c>
      <c r="K28" s="4">
        <v>268</v>
      </c>
      <c r="L28" s="4">
        <v>298</v>
      </c>
      <c r="M28" s="4">
        <v>329</v>
      </c>
      <c r="N28" s="9">
        <v>359</v>
      </c>
      <c r="O28" s="11">
        <v>25</v>
      </c>
      <c r="P28" s="2"/>
    </row>
    <row r="29" spans="1:20" ht="16.2" thickBot="1">
      <c r="A29" s="2"/>
      <c r="B29" s="11">
        <v>26</v>
      </c>
      <c r="C29" s="7">
        <v>26</v>
      </c>
      <c r="D29" s="4">
        <v>57</v>
      </c>
      <c r="E29" s="4">
        <v>85</v>
      </c>
      <c r="F29" s="4">
        <v>116</v>
      </c>
      <c r="G29" s="4">
        <v>146</v>
      </c>
      <c r="H29" s="4">
        <v>177</v>
      </c>
      <c r="I29" s="4">
        <v>207</v>
      </c>
      <c r="J29" s="4">
        <v>238</v>
      </c>
      <c r="K29" s="4">
        <v>269</v>
      </c>
      <c r="L29" s="4">
        <v>299</v>
      </c>
      <c r="M29" s="4">
        <v>330</v>
      </c>
      <c r="N29" s="9">
        <v>360</v>
      </c>
      <c r="O29" s="11">
        <v>26</v>
      </c>
      <c r="P29" s="2"/>
    </row>
    <row r="30" spans="1:20" ht="16.2" thickBot="1">
      <c r="A30" s="2"/>
      <c r="B30" s="11">
        <v>27</v>
      </c>
      <c r="C30" s="7">
        <v>27</v>
      </c>
      <c r="D30" s="4">
        <v>58</v>
      </c>
      <c r="E30" s="4">
        <v>86</v>
      </c>
      <c r="F30" s="4">
        <v>117</v>
      </c>
      <c r="G30" s="4">
        <v>147</v>
      </c>
      <c r="H30" s="4">
        <v>178</v>
      </c>
      <c r="I30" s="4">
        <v>208</v>
      </c>
      <c r="J30" s="4">
        <v>239</v>
      </c>
      <c r="K30" s="4">
        <v>270</v>
      </c>
      <c r="L30" s="4">
        <v>300</v>
      </c>
      <c r="M30" s="4">
        <v>331</v>
      </c>
      <c r="N30" s="9">
        <v>361</v>
      </c>
      <c r="O30" s="11">
        <v>27</v>
      </c>
      <c r="P30" s="2"/>
    </row>
    <row r="31" spans="1:20" ht="16.2" thickBot="1">
      <c r="A31" s="2"/>
      <c r="B31" s="11">
        <v>28</v>
      </c>
      <c r="C31" s="7">
        <v>28</v>
      </c>
      <c r="D31" s="4">
        <v>59</v>
      </c>
      <c r="E31" s="4">
        <v>87</v>
      </c>
      <c r="F31" s="4">
        <v>118</v>
      </c>
      <c r="G31" s="4">
        <v>148</v>
      </c>
      <c r="H31" s="4">
        <v>179</v>
      </c>
      <c r="I31" s="4">
        <v>209</v>
      </c>
      <c r="J31" s="4">
        <v>240</v>
      </c>
      <c r="K31" s="4">
        <v>271</v>
      </c>
      <c r="L31" s="4">
        <v>301</v>
      </c>
      <c r="M31" s="4">
        <v>332</v>
      </c>
      <c r="N31" s="9">
        <v>362</v>
      </c>
      <c r="O31" s="11">
        <v>28</v>
      </c>
      <c r="P31" s="2"/>
    </row>
    <row r="32" spans="1:20" ht="16.2" thickBot="1">
      <c r="A32" s="2"/>
      <c r="B32" s="11">
        <v>29</v>
      </c>
      <c r="C32" s="7">
        <v>29</v>
      </c>
      <c r="D32" s="4"/>
      <c r="E32" s="4">
        <v>88</v>
      </c>
      <c r="F32" s="4">
        <v>119</v>
      </c>
      <c r="G32" s="4">
        <v>149</v>
      </c>
      <c r="H32" s="4">
        <v>180</v>
      </c>
      <c r="I32" s="4">
        <v>210</v>
      </c>
      <c r="J32" s="4">
        <v>241</v>
      </c>
      <c r="K32" s="4">
        <v>272</v>
      </c>
      <c r="L32" s="4">
        <v>302</v>
      </c>
      <c r="M32" s="4">
        <v>333</v>
      </c>
      <c r="N32" s="9">
        <v>363</v>
      </c>
      <c r="O32" s="11">
        <v>29</v>
      </c>
      <c r="P32" s="2"/>
    </row>
    <row r="33" spans="1:16" ht="16.2" thickBot="1">
      <c r="A33" s="2"/>
      <c r="B33" s="11">
        <v>30</v>
      </c>
      <c r="C33" s="7">
        <v>30</v>
      </c>
      <c r="D33" s="4"/>
      <c r="E33" s="4">
        <v>89</v>
      </c>
      <c r="F33" s="4">
        <v>120</v>
      </c>
      <c r="G33" s="4">
        <v>150</v>
      </c>
      <c r="H33" s="4">
        <v>181</v>
      </c>
      <c r="I33" s="4">
        <v>211</v>
      </c>
      <c r="J33" s="4">
        <v>242</v>
      </c>
      <c r="K33" s="4">
        <v>273</v>
      </c>
      <c r="L33" s="4">
        <v>303</v>
      </c>
      <c r="M33" s="4">
        <v>334</v>
      </c>
      <c r="N33" s="9">
        <v>364</v>
      </c>
      <c r="O33" s="11">
        <v>30</v>
      </c>
      <c r="P33" s="2"/>
    </row>
    <row r="34" spans="1:16" ht="16.2" thickBot="1">
      <c r="A34" s="2"/>
      <c r="B34" s="11">
        <v>31</v>
      </c>
      <c r="C34" s="7">
        <v>31</v>
      </c>
      <c r="D34" s="4"/>
      <c r="E34" s="4">
        <v>90</v>
      </c>
      <c r="F34" s="4"/>
      <c r="G34" s="4">
        <v>151</v>
      </c>
      <c r="H34" s="4"/>
      <c r="I34" s="4">
        <v>212</v>
      </c>
      <c r="J34" s="4">
        <v>243</v>
      </c>
      <c r="K34" s="4"/>
      <c r="L34" s="4">
        <v>304</v>
      </c>
      <c r="M34" s="4"/>
      <c r="N34" s="9">
        <v>365</v>
      </c>
      <c r="O34" s="11">
        <v>31</v>
      </c>
      <c r="P34" s="2"/>
    </row>
    <row r="35" spans="1:16" ht="15.6">
      <c r="A35" s="2"/>
      <c r="B35" s="3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3"/>
      <c r="O35" s="2"/>
      <c r="P35" s="2"/>
    </row>
  </sheetData>
  <mergeCells count="3">
    <mergeCell ref="Q5:Q6"/>
    <mergeCell ref="T5:T6"/>
    <mergeCell ref="T12:T13"/>
  </mergeCells>
  <hyperlinks>
    <hyperlink ref="R9" r:id="rId1" location="v=onepage&amp;q&amp;f=false" xr:uid="{82CF517E-BCF5-4F43-ABAE-70B7604093C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5D038-BE26-4DB5-B7F7-2215275478EB}">
  <dimension ref="A5:R27"/>
  <sheetViews>
    <sheetView workbookViewId="0">
      <selection activeCell="B13" sqref="B13:E14"/>
    </sheetView>
  </sheetViews>
  <sheetFormatPr baseColWidth="10" defaultColWidth="11.44140625" defaultRowHeight="15.6"/>
  <cols>
    <col min="1" max="1" width="11.5546875" style="2"/>
    <col min="2" max="2" width="12.33203125" style="2" customWidth="1"/>
    <col min="3" max="6" width="10" style="2" customWidth="1"/>
    <col min="7" max="9" width="11.5546875" style="2"/>
    <col min="10" max="10" width="11.6640625" style="3" customWidth="1"/>
    <col min="11" max="16" width="11.5546875" style="3"/>
    <col min="17" max="18" width="11.5546875" style="2"/>
  </cols>
  <sheetData>
    <row r="5" spans="2:16" ht="16.2" thickBot="1"/>
    <row r="6" spans="2:16" ht="19.95" customHeight="1" thickBot="1">
      <c r="B6" s="284" t="s">
        <v>17</v>
      </c>
      <c r="C6" s="285"/>
      <c r="D6" s="285"/>
      <c r="E6" s="285"/>
      <c r="F6" s="285"/>
      <c r="G6" s="285"/>
      <c r="H6" s="286"/>
      <c r="J6" s="287" t="s">
        <v>18</v>
      </c>
      <c r="K6" s="288"/>
      <c r="L6" s="288"/>
      <c r="M6" s="288"/>
      <c r="N6" s="288"/>
      <c r="O6" s="288"/>
      <c r="P6" s="289"/>
    </row>
    <row r="7" spans="2:16">
      <c r="B7" s="16"/>
      <c r="C7" s="17"/>
      <c r="D7" s="17"/>
      <c r="E7" s="17"/>
      <c r="F7" s="17"/>
      <c r="G7" s="18"/>
      <c r="H7" s="19"/>
      <c r="J7" s="32"/>
      <c r="P7" s="33"/>
    </row>
    <row r="8" spans="2:16">
      <c r="B8" s="20" t="s">
        <v>19</v>
      </c>
      <c r="C8" s="14">
        <v>4880</v>
      </c>
      <c r="D8" s="21"/>
      <c r="E8" s="21"/>
      <c r="F8" s="21"/>
      <c r="H8" s="22"/>
      <c r="J8" s="36" t="s">
        <v>20</v>
      </c>
      <c r="K8" s="4">
        <v>27500</v>
      </c>
      <c r="P8" s="33"/>
    </row>
    <row r="9" spans="2:16">
      <c r="B9" s="20" t="s">
        <v>21</v>
      </c>
      <c r="C9" s="15">
        <v>0.29599999999999999</v>
      </c>
      <c r="D9" s="21"/>
      <c r="E9" s="21"/>
      <c r="F9" s="21"/>
      <c r="H9" s="22"/>
      <c r="J9" s="36" t="s">
        <v>19</v>
      </c>
      <c r="K9" s="4">
        <v>22000</v>
      </c>
      <c r="P9" s="33"/>
    </row>
    <row r="10" spans="2:16">
      <c r="B10" s="20" t="s">
        <v>22</v>
      </c>
      <c r="C10" s="14">
        <v>1</v>
      </c>
      <c r="D10" s="21"/>
      <c r="E10" s="21"/>
      <c r="F10" s="21"/>
      <c r="H10" s="22"/>
      <c r="J10" s="36" t="s">
        <v>23</v>
      </c>
      <c r="K10" s="35">
        <v>0.05</v>
      </c>
      <c r="P10" s="33"/>
    </row>
    <row r="11" spans="2:16">
      <c r="B11" s="23"/>
      <c r="H11" s="22"/>
      <c r="J11" s="32"/>
      <c r="P11" s="33"/>
    </row>
    <row r="12" spans="2:16" ht="21" customHeight="1">
      <c r="B12" s="24" t="s">
        <v>24</v>
      </c>
      <c r="C12" s="25" t="s">
        <v>25</v>
      </c>
      <c r="D12" s="25" t="s">
        <v>26</v>
      </c>
      <c r="E12" s="25" t="s">
        <v>27</v>
      </c>
      <c r="F12" s="25" t="s">
        <v>28</v>
      </c>
      <c r="H12" s="22"/>
      <c r="J12" s="24" t="s">
        <v>29</v>
      </c>
      <c r="K12" s="25" t="s">
        <v>30</v>
      </c>
      <c r="L12" s="25" t="s">
        <v>25</v>
      </c>
      <c r="M12" s="25" t="s">
        <v>31</v>
      </c>
      <c r="N12" s="25" t="s">
        <v>32</v>
      </c>
      <c r="P12" s="33"/>
    </row>
    <row r="13" spans="2:16" ht="27.6" customHeight="1" thickBot="1">
      <c r="B13" s="26">
        <f>C13*(D13+(E13*F13))</f>
        <v>6324.4800000000005</v>
      </c>
      <c r="C13" s="37">
        <f>C8</f>
        <v>4880</v>
      </c>
      <c r="D13" s="28">
        <v>1</v>
      </c>
      <c r="E13" s="38">
        <f>C9</f>
        <v>0.29599999999999999</v>
      </c>
      <c r="F13" s="37">
        <f>C10</f>
        <v>1</v>
      </c>
      <c r="G13" s="29"/>
      <c r="H13" s="30"/>
      <c r="J13" s="26">
        <f>((K13/L13)-M13)/N13</f>
        <v>5</v>
      </c>
      <c r="K13" s="39">
        <f>K8</f>
        <v>27500</v>
      </c>
      <c r="L13" s="39">
        <f>K9</f>
        <v>22000</v>
      </c>
      <c r="M13" s="28">
        <v>1</v>
      </c>
      <c r="N13" s="40">
        <f>K10</f>
        <v>0.05</v>
      </c>
      <c r="O13" s="27"/>
      <c r="P13" s="34"/>
    </row>
    <row r="14" spans="2:16" ht="16.2" thickBot="1"/>
    <row r="15" spans="2:16" ht="21" customHeight="1" thickBot="1">
      <c r="B15" s="284" t="s">
        <v>33</v>
      </c>
      <c r="C15" s="285"/>
      <c r="D15" s="285"/>
      <c r="E15" s="285"/>
      <c r="F15" s="285"/>
      <c r="G15" s="285"/>
      <c r="H15" s="286"/>
      <c r="J15" s="287" t="s">
        <v>34</v>
      </c>
      <c r="K15" s="285"/>
      <c r="L15" s="285"/>
      <c r="M15" s="285"/>
      <c r="N15" s="285"/>
      <c r="O15" s="285"/>
      <c r="P15" s="286"/>
    </row>
    <row r="16" spans="2:16">
      <c r="B16" s="31"/>
      <c r="C16" s="18"/>
      <c r="D16" s="18"/>
      <c r="E16" s="18"/>
      <c r="F16" s="18"/>
      <c r="G16" s="18"/>
      <c r="H16" s="19"/>
      <c r="J16" s="32"/>
      <c r="P16" s="33"/>
    </row>
    <row r="17" spans="1:18">
      <c r="B17" s="20" t="s">
        <v>35</v>
      </c>
      <c r="C17" s="14">
        <v>27500</v>
      </c>
      <c r="H17" s="22"/>
      <c r="J17" s="36" t="s">
        <v>20</v>
      </c>
      <c r="K17" s="4">
        <v>5280</v>
      </c>
      <c r="P17" s="33"/>
    </row>
    <row r="18" spans="1:18">
      <c r="B18" s="20" t="s">
        <v>21</v>
      </c>
      <c r="C18" s="15">
        <v>0.05</v>
      </c>
      <c r="H18" s="22"/>
      <c r="J18" s="36" t="s">
        <v>19</v>
      </c>
      <c r="K18" s="4">
        <v>4910.3999999999996</v>
      </c>
      <c r="P18" s="33"/>
    </row>
    <row r="19" spans="1:18">
      <c r="B19" s="20" t="s">
        <v>22</v>
      </c>
      <c r="C19" s="14">
        <v>5</v>
      </c>
      <c r="H19" s="22"/>
      <c r="J19" s="41" t="s">
        <v>36</v>
      </c>
      <c r="K19" s="4">
        <v>0.313888888888888</v>
      </c>
      <c r="L19" s="3" t="s">
        <v>37</v>
      </c>
      <c r="P19" s="33"/>
    </row>
    <row r="20" spans="1:18">
      <c r="B20" s="23"/>
      <c r="H20" s="22"/>
      <c r="J20" s="32"/>
      <c r="P20" s="33"/>
    </row>
    <row r="21" spans="1:18" s="1" customFormat="1" ht="22.2" customHeight="1">
      <c r="A21" s="3"/>
      <c r="B21" s="24" t="s">
        <v>38</v>
      </c>
      <c r="C21" s="25" t="s">
        <v>39</v>
      </c>
      <c r="D21" s="25" t="s">
        <v>26</v>
      </c>
      <c r="E21" s="25" t="s">
        <v>27</v>
      </c>
      <c r="F21" s="25" t="s">
        <v>28</v>
      </c>
      <c r="G21" s="25" t="s">
        <v>40</v>
      </c>
      <c r="H21" s="33"/>
      <c r="I21" s="3"/>
      <c r="J21" s="24" t="s">
        <v>41</v>
      </c>
      <c r="K21" s="25" t="s">
        <v>30</v>
      </c>
      <c r="L21" s="25" t="s">
        <v>25</v>
      </c>
      <c r="M21" s="25" t="s">
        <v>31</v>
      </c>
      <c r="N21" s="25" t="s">
        <v>42</v>
      </c>
      <c r="O21" s="25"/>
      <c r="P21" s="33"/>
      <c r="Q21" s="3"/>
      <c r="R21" s="3"/>
    </row>
    <row r="22" spans="1:18" s="1" customFormat="1" ht="27.6" customHeight="1" thickBot="1">
      <c r="A22" s="3"/>
      <c r="B22" s="26">
        <f>C22*(D22+E22*F22)^(G22)</f>
        <v>22000</v>
      </c>
      <c r="C22" s="37">
        <f>C17</f>
        <v>27500</v>
      </c>
      <c r="D22" s="28">
        <v>1</v>
      </c>
      <c r="E22" s="38">
        <f>C18</f>
        <v>0.05</v>
      </c>
      <c r="F22" s="37">
        <f>C19</f>
        <v>5</v>
      </c>
      <c r="G22" s="37">
        <v>-1</v>
      </c>
      <c r="H22" s="34"/>
      <c r="I22" s="3"/>
      <c r="J22" s="157">
        <f>((K22/L22)-M22)/N22</f>
        <v>0.23979446188980991</v>
      </c>
      <c r="K22" s="37">
        <f>K17</f>
        <v>5280</v>
      </c>
      <c r="L22" s="37">
        <f>K18</f>
        <v>4910.3999999999996</v>
      </c>
      <c r="M22" s="28">
        <v>1</v>
      </c>
      <c r="N22" s="37">
        <f>K19</f>
        <v>0.313888888888888</v>
      </c>
      <c r="O22" s="27"/>
      <c r="P22" s="34"/>
      <c r="Q22" s="3"/>
      <c r="R22" s="3"/>
    </row>
    <row r="25" spans="1:18">
      <c r="B25" s="2">
        <v>2299</v>
      </c>
      <c r="C25" s="151">
        <v>0.3</v>
      </c>
      <c r="D25" s="152">
        <f>B25*C25</f>
        <v>689.69999999999993</v>
      </c>
      <c r="I25" s="2">
        <v>2023.12</v>
      </c>
      <c r="J25" s="3">
        <v>1839.2</v>
      </c>
      <c r="K25" s="3">
        <f>I25-J25</f>
        <v>183.91999999999985</v>
      </c>
    </row>
    <row r="27" spans="1:18">
      <c r="B27" s="2">
        <v>2482.92</v>
      </c>
      <c r="C27" s="152">
        <f>B27-D25</f>
        <v>1793.2200000000003</v>
      </c>
      <c r="D27" s="152">
        <f>B25-D25</f>
        <v>1609.3000000000002</v>
      </c>
      <c r="I27" s="2">
        <v>2023.12</v>
      </c>
      <c r="J27" s="3">
        <v>1609.3</v>
      </c>
      <c r="K27" s="3">
        <f>I27-J27</f>
        <v>413.81999999999994</v>
      </c>
    </row>
  </sheetData>
  <mergeCells count="4">
    <mergeCell ref="B15:H15"/>
    <mergeCell ref="B6:H6"/>
    <mergeCell ref="J6:P6"/>
    <mergeCell ref="J15:P1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07002-338F-4ACF-9EE8-3973FC97DA67}">
  <dimension ref="A1:R34"/>
  <sheetViews>
    <sheetView workbookViewId="0">
      <selection activeCell="C8" sqref="C8"/>
    </sheetView>
  </sheetViews>
  <sheetFormatPr baseColWidth="10" defaultColWidth="11.44140625" defaultRowHeight="15.6"/>
  <cols>
    <col min="1" max="1" width="13.6640625" style="2" bestFit="1" customWidth="1"/>
    <col min="2" max="2" width="14.6640625" style="2" customWidth="1"/>
    <col min="3" max="3" width="11.5546875" style="2"/>
    <col min="4" max="4" width="13" style="2" customWidth="1"/>
    <col min="5" max="9" width="11.5546875" style="2"/>
    <col min="10" max="10" width="15.33203125" style="2" customWidth="1"/>
    <col min="11" max="11" width="13.6640625" style="2" customWidth="1"/>
    <col min="12" max="12" width="12.44140625" style="2" bestFit="1" customWidth="1"/>
    <col min="13" max="18" width="11.5546875" style="2"/>
  </cols>
  <sheetData>
    <row r="1" spans="1:16" ht="16.2" thickBot="1"/>
    <row r="2" spans="1:16" ht="16.2" thickBot="1">
      <c r="B2" s="287" t="s">
        <v>43</v>
      </c>
      <c r="C2" s="288"/>
      <c r="D2" s="288"/>
      <c r="E2" s="288"/>
      <c r="F2" s="288"/>
      <c r="G2" s="288"/>
      <c r="H2" s="289"/>
      <c r="J2" s="287" t="s">
        <v>18</v>
      </c>
      <c r="K2" s="288"/>
      <c r="L2" s="288"/>
      <c r="M2" s="288"/>
      <c r="N2" s="288"/>
      <c r="O2" s="288"/>
      <c r="P2" s="289"/>
    </row>
    <row r="3" spans="1:16">
      <c r="B3" s="16"/>
      <c r="C3" s="17"/>
      <c r="D3" s="17"/>
      <c r="E3" s="17"/>
      <c r="F3" s="17"/>
      <c r="G3" s="18"/>
      <c r="H3" s="19"/>
      <c r="J3" s="32"/>
      <c r="K3" s="3"/>
      <c r="L3" s="3"/>
      <c r="M3" s="3"/>
      <c r="N3" s="3"/>
      <c r="O3" s="3"/>
      <c r="P3" s="33"/>
    </row>
    <row r="4" spans="1:16">
      <c r="B4" s="291" t="s">
        <v>44</v>
      </c>
      <c r="C4" s="292"/>
      <c r="D4" s="53" t="s">
        <v>45</v>
      </c>
      <c r="E4" s="21"/>
      <c r="F4" s="21"/>
      <c r="H4" s="22"/>
      <c r="J4" s="291" t="s">
        <v>44</v>
      </c>
      <c r="K4" s="292"/>
      <c r="L4" s="53" t="s">
        <v>46</v>
      </c>
      <c r="M4" s="3"/>
      <c r="N4" s="3"/>
      <c r="O4" s="3"/>
      <c r="P4" s="33"/>
    </row>
    <row r="5" spans="1:16">
      <c r="B5" s="46" t="s">
        <v>19</v>
      </c>
      <c r="C5" s="162">
        <v>4040</v>
      </c>
      <c r="D5" s="21"/>
      <c r="E5" s="45"/>
      <c r="F5" s="45"/>
      <c r="H5" s="22"/>
      <c r="J5" s="41" t="s">
        <v>20</v>
      </c>
      <c r="K5" s="4">
        <v>10200</v>
      </c>
      <c r="L5" s="3"/>
      <c r="M5" s="3"/>
      <c r="N5" s="3"/>
      <c r="O5" s="3"/>
      <c r="P5" s="33"/>
    </row>
    <row r="6" spans="1:16">
      <c r="B6" s="41" t="s">
        <v>47</v>
      </c>
      <c r="C6" s="67">
        <v>7.9600000000000004E-2</v>
      </c>
      <c r="D6" s="21" t="s">
        <v>48</v>
      </c>
      <c r="E6" s="21"/>
      <c r="F6" s="21"/>
      <c r="H6" s="22"/>
      <c r="J6" s="41" t="s">
        <v>19</v>
      </c>
      <c r="K6" s="4">
        <v>8856</v>
      </c>
      <c r="L6" s="3"/>
      <c r="M6" s="3"/>
      <c r="N6" s="3"/>
      <c r="O6" s="3"/>
      <c r="P6" s="33"/>
    </row>
    <row r="7" spans="1:16">
      <c r="B7" s="41" t="s">
        <v>49</v>
      </c>
      <c r="C7" s="14">
        <v>4</v>
      </c>
      <c r="D7" s="21"/>
      <c r="E7" s="21"/>
      <c r="F7" s="21"/>
      <c r="H7" s="22"/>
      <c r="J7" s="41" t="s">
        <v>47</v>
      </c>
      <c r="K7" s="153">
        <v>0.2014379</v>
      </c>
      <c r="L7" s="3" t="s">
        <v>37</v>
      </c>
      <c r="M7" s="3">
        <f>J12*30</f>
        <v>254.6246237254235</v>
      </c>
      <c r="N7" s="3"/>
      <c r="O7" s="3"/>
      <c r="P7" s="33"/>
    </row>
    <row r="8" spans="1:16">
      <c r="B8" s="41" t="s">
        <v>50</v>
      </c>
      <c r="C8" s="14">
        <v>12</v>
      </c>
      <c r="D8" s="21"/>
      <c r="E8" s="21"/>
      <c r="F8" s="21"/>
      <c r="H8" s="22"/>
      <c r="J8" s="41" t="s">
        <v>49</v>
      </c>
      <c r="K8" s="4">
        <v>12</v>
      </c>
      <c r="L8" s="3"/>
      <c r="M8" s="3"/>
      <c r="N8" s="3"/>
      <c r="O8" s="3"/>
      <c r="P8" s="33"/>
    </row>
    <row r="9" spans="1:16">
      <c r="B9" s="23"/>
      <c r="H9" s="22"/>
      <c r="J9" s="32"/>
      <c r="K9" s="3"/>
      <c r="L9" s="3"/>
      <c r="M9" s="3"/>
      <c r="N9" s="3"/>
      <c r="O9" s="3"/>
      <c r="P9" s="33"/>
    </row>
    <row r="10" spans="1:16">
      <c r="B10" s="23"/>
      <c r="E10" s="62">
        <f>C6</f>
        <v>7.9600000000000004E-2</v>
      </c>
      <c r="H10" s="22"/>
      <c r="J10" s="32"/>
      <c r="K10" s="3"/>
      <c r="L10" s="3"/>
      <c r="M10" s="3"/>
      <c r="N10" s="62">
        <f>K7</f>
        <v>0.2014379</v>
      </c>
      <c r="O10" s="3"/>
      <c r="P10" s="33"/>
    </row>
    <row r="11" spans="1:16" ht="16.2" thickBot="1">
      <c r="B11" s="24" t="s">
        <v>51</v>
      </c>
      <c r="C11" s="3" t="s">
        <v>25</v>
      </c>
      <c r="D11" s="3" t="s">
        <v>26</v>
      </c>
      <c r="E11" s="3" t="s">
        <v>52</v>
      </c>
      <c r="F11" s="3" t="s">
        <v>53</v>
      </c>
      <c r="G11" s="3" t="s">
        <v>54</v>
      </c>
      <c r="H11" s="22"/>
      <c r="J11" s="24" t="s">
        <v>55</v>
      </c>
      <c r="K11" s="3" t="s">
        <v>56</v>
      </c>
      <c r="L11" s="3" t="s">
        <v>57</v>
      </c>
      <c r="M11" s="3" t="s">
        <v>58</v>
      </c>
      <c r="N11" s="3" t="s">
        <v>52</v>
      </c>
      <c r="O11" s="3" t="s">
        <v>59</v>
      </c>
      <c r="P11" s="33"/>
    </row>
    <row r="12" spans="1:16" ht="16.2" thickBot="1">
      <c r="A12" s="160">
        <f>39018-B12</f>
        <v>33900.327779349653</v>
      </c>
      <c r="B12" s="69">
        <f>C12*((D12+(E12/F12))^G12)</f>
        <v>5117.6722206503464</v>
      </c>
      <c r="C12" s="48">
        <f>C5</f>
        <v>4040</v>
      </c>
      <c r="D12" s="51">
        <v>1</v>
      </c>
      <c r="E12" s="71">
        <f>C6</f>
        <v>7.9600000000000004E-2</v>
      </c>
      <c r="F12" s="48">
        <f>C7</f>
        <v>4</v>
      </c>
      <c r="G12" s="50">
        <f>C8</f>
        <v>12</v>
      </c>
      <c r="H12" s="22"/>
      <c r="J12" s="68">
        <f>LN(K12/L12)/LN(M12+(N12/O12))</f>
        <v>8.487487457514117</v>
      </c>
      <c r="K12" s="25">
        <f>K5</f>
        <v>10200</v>
      </c>
      <c r="L12" s="25">
        <f>K6</f>
        <v>8856</v>
      </c>
      <c r="M12" s="25">
        <v>1</v>
      </c>
      <c r="N12" s="47">
        <f>K7</f>
        <v>0.2014379</v>
      </c>
      <c r="O12" s="3">
        <f>K8</f>
        <v>12</v>
      </c>
      <c r="P12" s="33"/>
    </row>
    <row r="13" spans="1:16" ht="16.2" thickBot="1">
      <c r="B13" s="26"/>
      <c r="C13" s="37"/>
      <c r="D13" s="28"/>
      <c r="E13" s="38"/>
      <c r="F13" s="37"/>
      <c r="G13" s="29"/>
      <c r="H13" s="30"/>
      <c r="J13" s="26"/>
      <c r="K13" s="39"/>
      <c r="L13" s="39"/>
      <c r="M13" s="28"/>
      <c r="N13" s="40"/>
      <c r="O13" s="27"/>
      <c r="P13" s="34"/>
    </row>
    <row r="14" spans="1:16" ht="16.2" thickBot="1">
      <c r="J14" s="3"/>
      <c r="K14" s="3"/>
      <c r="L14" s="3"/>
      <c r="M14" s="3"/>
      <c r="N14" s="3"/>
      <c r="O14" s="3"/>
      <c r="P14" s="3"/>
    </row>
    <row r="15" spans="1:16" ht="16.2" thickBot="1">
      <c r="B15" s="287" t="s">
        <v>60</v>
      </c>
      <c r="C15" s="288"/>
      <c r="D15" s="288"/>
      <c r="E15" s="288"/>
      <c r="F15" s="288"/>
      <c r="G15" s="288"/>
      <c r="H15" s="289"/>
      <c r="J15" s="287" t="s">
        <v>61</v>
      </c>
      <c r="K15" s="285"/>
      <c r="L15" s="285"/>
      <c r="M15" s="285"/>
      <c r="N15" s="285"/>
      <c r="O15" s="285"/>
      <c r="P15" s="286"/>
    </row>
    <row r="16" spans="1:16">
      <c r="B16" s="31"/>
      <c r="C16" s="18"/>
      <c r="D16" s="18"/>
      <c r="E16" s="18"/>
      <c r="F16" s="18"/>
      <c r="G16" s="18"/>
      <c r="H16" s="19"/>
      <c r="J16" s="32"/>
      <c r="K16" s="3"/>
      <c r="L16" s="3"/>
      <c r="M16" s="3"/>
      <c r="N16" s="3"/>
      <c r="O16" s="3"/>
      <c r="P16" s="33"/>
    </row>
    <row r="17" spans="1:17">
      <c r="B17" s="291" t="s">
        <v>44</v>
      </c>
      <c r="C17" s="292"/>
      <c r="D17" s="53" t="s">
        <v>62</v>
      </c>
      <c r="H17" s="22"/>
      <c r="J17" s="291" t="s">
        <v>44</v>
      </c>
      <c r="K17" s="292"/>
      <c r="L17" s="53" t="s">
        <v>63</v>
      </c>
      <c r="M17" s="3"/>
      <c r="N17" s="3"/>
      <c r="O17" s="3"/>
      <c r="P17" s="33"/>
    </row>
    <row r="18" spans="1:17">
      <c r="B18" s="44" t="s">
        <v>20</v>
      </c>
      <c r="C18" s="14">
        <v>8566</v>
      </c>
      <c r="H18" s="22"/>
      <c r="J18" s="41" t="s">
        <v>20</v>
      </c>
      <c r="K18" s="4">
        <v>39018</v>
      </c>
      <c r="L18" s="3"/>
      <c r="M18" s="3"/>
      <c r="N18" s="3"/>
      <c r="O18" s="3"/>
      <c r="P18" s="33"/>
    </row>
    <row r="19" spans="1:17">
      <c r="B19" s="44" t="s">
        <v>47</v>
      </c>
      <c r="C19" s="15">
        <v>0.2014379</v>
      </c>
      <c r="D19" s="2" t="s">
        <v>37</v>
      </c>
      <c r="H19" s="22"/>
      <c r="J19" s="41" t="s">
        <v>19</v>
      </c>
      <c r="K19" s="4">
        <v>36788.400000000001</v>
      </c>
      <c r="L19" s="3"/>
      <c r="M19" s="3"/>
      <c r="N19" s="3"/>
      <c r="O19" s="3"/>
      <c r="P19" s="33"/>
    </row>
    <row r="20" spans="1:17">
      <c r="B20" s="44" t="s">
        <v>49</v>
      </c>
      <c r="C20" s="14">
        <v>12</v>
      </c>
      <c r="H20" s="22"/>
      <c r="J20" s="41" t="s">
        <v>49</v>
      </c>
      <c r="K20" s="54">
        <v>360</v>
      </c>
      <c r="L20" s="3" t="s">
        <v>37</v>
      </c>
      <c r="M20" s="3"/>
      <c r="N20" s="3"/>
      <c r="O20" s="3"/>
      <c r="P20" s="33"/>
    </row>
    <row r="21" spans="1:17">
      <c r="B21" s="44" t="s">
        <v>50</v>
      </c>
      <c r="C21" s="14">
        <v>2</v>
      </c>
      <c r="D21" s="21" t="s">
        <v>64</v>
      </c>
      <c r="H21" s="22"/>
      <c r="J21" s="41" t="s">
        <v>50</v>
      </c>
      <c r="K21" s="4">
        <v>63</v>
      </c>
      <c r="L21" s="3"/>
      <c r="M21" s="3"/>
      <c r="N21" s="3"/>
      <c r="O21" s="3"/>
      <c r="P21" s="33"/>
    </row>
    <row r="22" spans="1:17" ht="16.2" thickBot="1">
      <c r="B22" s="43"/>
      <c r="C22" s="21"/>
      <c r="H22" s="22"/>
      <c r="J22" s="32"/>
      <c r="K22" s="3"/>
      <c r="L22" s="3"/>
      <c r="M22" s="3"/>
      <c r="N22" s="3"/>
      <c r="O22" s="3"/>
      <c r="P22" s="33"/>
    </row>
    <row r="23" spans="1:17" ht="16.2" thickBot="1">
      <c r="B23" s="43"/>
      <c r="C23" s="21"/>
      <c r="E23" s="62">
        <f>C19</f>
        <v>0.2014379</v>
      </c>
      <c r="H23" s="22"/>
      <c r="J23" s="158">
        <f>J25</f>
        <v>0.33638849367151558</v>
      </c>
      <c r="K23" s="3"/>
      <c r="L23" s="3"/>
      <c r="M23" s="3"/>
      <c r="N23" s="3"/>
      <c r="O23" s="3"/>
      <c r="P23" s="33"/>
    </row>
    <row r="24" spans="1:17" ht="16.2" thickBot="1">
      <c r="B24" s="24" t="s">
        <v>65</v>
      </c>
      <c r="C24" s="3" t="s">
        <v>39</v>
      </c>
      <c r="D24" s="3" t="s">
        <v>26</v>
      </c>
      <c r="E24" s="3" t="s">
        <v>52</v>
      </c>
      <c r="F24" s="3" t="s">
        <v>59</v>
      </c>
      <c r="G24" s="3" t="s">
        <v>66</v>
      </c>
      <c r="H24" s="22"/>
      <c r="J24" s="32" t="s">
        <v>67</v>
      </c>
      <c r="K24" s="3" t="s">
        <v>68</v>
      </c>
      <c r="L24" s="3" t="s">
        <v>69</v>
      </c>
      <c r="M24" s="3" t="s">
        <v>70</v>
      </c>
      <c r="N24" s="3" t="s">
        <v>71</v>
      </c>
      <c r="O24" s="3" t="s">
        <v>31</v>
      </c>
      <c r="P24" s="33"/>
    </row>
    <row r="25" spans="1:17" ht="16.2" thickBot="1">
      <c r="A25" s="3"/>
      <c r="B25" s="70">
        <f>C25*(D25+(E25/F25))^G25</f>
        <v>8285.4964271408335</v>
      </c>
      <c r="C25" s="48">
        <f>C18</f>
        <v>8566</v>
      </c>
      <c r="D25" s="51">
        <v>1</v>
      </c>
      <c r="E25" s="49">
        <f>C19</f>
        <v>0.2014379</v>
      </c>
      <c r="F25" s="48">
        <f>C20</f>
        <v>12</v>
      </c>
      <c r="G25" s="48">
        <f>-C21</f>
        <v>-2</v>
      </c>
      <c r="H25" s="33"/>
      <c r="I25" s="3"/>
      <c r="J25" s="159">
        <f>K25*(((L25/M25)^(1/N25))-O25)</f>
        <v>0.33638849367151558</v>
      </c>
      <c r="K25" s="55">
        <f>K20</f>
        <v>360</v>
      </c>
      <c r="L25" s="25">
        <f>K18</f>
        <v>39018</v>
      </c>
      <c r="M25" s="25">
        <f>K19</f>
        <v>36788.400000000001</v>
      </c>
      <c r="N25" s="25">
        <f>K21</f>
        <v>63</v>
      </c>
      <c r="O25" s="51">
        <v>1</v>
      </c>
      <c r="P25" s="33"/>
      <c r="Q25" s="3"/>
    </row>
    <row r="26" spans="1:17" ht="16.2" thickBot="1">
      <c r="A26" s="3"/>
      <c r="B26" s="26"/>
      <c r="C26" s="37"/>
      <c r="D26" s="28"/>
      <c r="E26" s="38"/>
      <c r="F26" s="37"/>
      <c r="G26" s="37"/>
      <c r="H26" s="34"/>
      <c r="I26" s="3"/>
      <c r="J26" s="42"/>
      <c r="K26" s="37"/>
      <c r="L26" s="37"/>
      <c r="M26" s="28"/>
      <c r="N26" s="37"/>
      <c r="O26" s="27"/>
      <c r="P26" s="34"/>
      <c r="Q26" s="3"/>
    </row>
    <row r="27" spans="1:17">
      <c r="J27" s="3"/>
      <c r="K27" s="3"/>
      <c r="L27" s="3"/>
      <c r="M27" s="3"/>
      <c r="N27" s="3"/>
      <c r="O27" s="3"/>
      <c r="P27" s="3"/>
    </row>
    <row r="28" spans="1:17">
      <c r="B28" s="45" t="s">
        <v>72</v>
      </c>
      <c r="C28" s="290" t="s">
        <v>73</v>
      </c>
      <c r="D28" s="290"/>
      <c r="E28" s="290"/>
      <c r="F28" s="290"/>
      <c r="G28" s="290"/>
      <c r="H28" s="290"/>
      <c r="I28" s="290"/>
    </row>
    <row r="29" spans="1:17">
      <c r="C29" s="290" t="s">
        <v>74</v>
      </c>
      <c r="D29" s="290"/>
      <c r="E29" s="290"/>
      <c r="F29" s="290"/>
      <c r="G29" s="290"/>
      <c r="H29" s="290"/>
      <c r="I29" s="290"/>
    </row>
    <row r="32" spans="1:17">
      <c r="B32" s="2">
        <v>55740</v>
      </c>
      <c r="C32" s="151">
        <v>0.04</v>
      </c>
      <c r="D32" s="152">
        <f>B32*C32</f>
        <v>2229.6</v>
      </c>
      <c r="F32" s="152">
        <f>39018-D32</f>
        <v>36788.400000000001</v>
      </c>
    </row>
    <row r="34" spans="4:4">
      <c r="D34" s="152">
        <f>B32-D32</f>
        <v>53510.400000000001</v>
      </c>
    </row>
  </sheetData>
  <mergeCells count="10">
    <mergeCell ref="B2:H2"/>
    <mergeCell ref="J2:P2"/>
    <mergeCell ref="B15:H15"/>
    <mergeCell ref="J15:P15"/>
    <mergeCell ref="C29:I29"/>
    <mergeCell ref="C28:I28"/>
    <mergeCell ref="B4:C4"/>
    <mergeCell ref="J4:K4"/>
    <mergeCell ref="B17:C17"/>
    <mergeCell ref="J17:K1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98936-C41F-4AA3-B6EA-C0CE6D905FBA}">
  <dimension ref="A2:V58"/>
  <sheetViews>
    <sheetView tabSelected="1" zoomScale="70" zoomScaleNormal="70" workbookViewId="0">
      <selection activeCell="K23" sqref="K23"/>
    </sheetView>
  </sheetViews>
  <sheetFormatPr baseColWidth="10" defaultColWidth="11.44140625" defaultRowHeight="14.4"/>
  <cols>
    <col min="2" max="2" width="16.33203125" customWidth="1"/>
    <col min="3" max="3" width="16.33203125" bestFit="1" customWidth="1"/>
    <col min="4" max="4" width="11.5546875" style="1"/>
    <col min="6" max="6" width="12" bestFit="1" customWidth="1"/>
    <col min="7" max="7" width="17.109375" bestFit="1" customWidth="1"/>
    <col min="10" max="10" width="16.33203125" customWidth="1"/>
    <col min="11" max="11" width="15.6640625" bestFit="1" customWidth="1"/>
    <col min="13" max="13" width="17.33203125" customWidth="1"/>
    <col min="14" max="14" width="16.33203125" customWidth="1"/>
    <col min="15" max="15" width="13.5546875" bestFit="1" customWidth="1"/>
    <col min="16" max="16" width="14.33203125" customWidth="1"/>
  </cols>
  <sheetData>
    <row r="2" spans="1:22" ht="24.6">
      <c r="B2" s="297" t="s">
        <v>75</v>
      </c>
      <c r="C2" s="297"/>
      <c r="D2" s="297"/>
      <c r="E2" s="297"/>
      <c r="F2" s="297"/>
      <c r="G2" s="297"/>
      <c r="H2" s="297"/>
      <c r="I2" s="297"/>
      <c r="J2" s="297"/>
      <c r="K2" s="297"/>
      <c r="L2" s="297"/>
      <c r="M2" s="297"/>
      <c r="N2" s="297"/>
      <c r="O2" s="297"/>
      <c r="P2" s="297"/>
    </row>
    <row r="3" spans="1:22" ht="16.2" thickBot="1">
      <c r="A3" s="2"/>
      <c r="B3" s="2"/>
      <c r="C3" s="2"/>
      <c r="D3" s="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22" ht="16.2" thickBot="1">
      <c r="A4" s="2"/>
      <c r="B4" s="287" t="s">
        <v>76</v>
      </c>
      <c r="C4" s="288"/>
      <c r="D4" s="288"/>
      <c r="E4" s="288"/>
      <c r="F4" s="288"/>
      <c r="G4" s="288"/>
      <c r="H4" s="289"/>
      <c r="I4" s="2"/>
      <c r="J4" s="287" t="s">
        <v>77</v>
      </c>
      <c r="K4" s="288"/>
      <c r="L4" s="288"/>
      <c r="M4" s="288"/>
      <c r="N4" s="288"/>
      <c r="O4" s="288"/>
      <c r="P4" s="289"/>
      <c r="Q4" s="2"/>
      <c r="R4" s="2"/>
      <c r="T4" s="303" t="s">
        <v>78</v>
      </c>
      <c r="U4" s="303"/>
      <c r="V4" s="303"/>
    </row>
    <row r="5" spans="1:22" ht="15.6">
      <c r="A5" s="2"/>
      <c r="B5" s="86"/>
      <c r="C5" s="87"/>
      <c r="D5" s="88"/>
      <c r="E5" s="87"/>
      <c r="F5" s="87"/>
      <c r="G5" s="89"/>
      <c r="H5" s="90"/>
      <c r="I5" s="2"/>
      <c r="J5" s="32"/>
      <c r="K5" s="3"/>
      <c r="L5" s="3"/>
      <c r="M5" s="3"/>
      <c r="N5" s="3"/>
      <c r="O5" s="3"/>
      <c r="P5" s="33"/>
      <c r="Q5" s="2"/>
      <c r="R5" s="2"/>
    </row>
    <row r="6" spans="1:22" ht="15.6">
      <c r="A6" s="2"/>
      <c r="B6" s="304"/>
      <c r="C6" s="305"/>
      <c r="D6" s="91"/>
      <c r="E6" s="92"/>
      <c r="F6" s="92"/>
      <c r="G6" s="93"/>
      <c r="H6" s="94"/>
      <c r="I6" s="2"/>
      <c r="J6" s="291" t="s">
        <v>79</v>
      </c>
      <c r="K6" s="292"/>
      <c r="L6" s="53" t="s">
        <v>80</v>
      </c>
      <c r="M6" s="3"/>
      <c r="N6" s="3"/>
      <c r="O6" s="3"/>
      <c r="P6" s="33"/>
      <c r="Q6" s="2"/>
      <c r="R6" s="2"/>
    </row>
    <row r="7" spans="1:22" ht="15.6">
      <c r="A7" s="2"/>
      <c r="B7" s="95" t="s">
        <v>20</v>
      </c>
      <c r="C7" s="96">
        <v>200</v>
      </c>
      <c r="D7" s="97"/>
      <c r="E7" s="98"/>
      <c r="F7" s="98"/>
      <c r="G7" s="93"/>
      <c r="H7" s="94"/>
      <c r="I7" s="2"/>
      <c r="J7" s="41" t="s">
        <v>81</v>
      </c>
      <c r="K7" s="77">
        <v>9.9199999999999997E-2</v>
      </c>
      <c r="L7" s="3" t="s">
        <v>37</v>
      </c>
      <c r="M7" s="3"/>
      <c r="N7" s="3"/>
      <c r="O7" s="3"/>
      <c r="P7" s="33"/>
      <c r="Q7" s="2"/>
      <c r="R7" s="2"/>
    </row>
    <row r="8" spans="1:22" ht="15.6">
      <c r="A8" s="2"/>
      <c r="B8" s="99" t="s">
        <v>19</v>
      </c>
      <c r="C8" s="100">
        <v>100</v>
      </c>
      <c r="D8" s="97"/>
      <c r="E8" s="92"/>
      <c r="F8" s="92"/>
      <c r="G8" s="93"/>
      <c r="H8" s="94"/>
      <c r="I8" s="2"/>
      <c r="J8" s="41" t="s">
        <v>82</v>
      </c>
      <c r="K8" s="65">
        <v>360</v>
      </c>
      <c r="L8" s="3"/>
      <c r="M8" s="3"/>
      <c r="N8" s="3"/>
      <c r="O8" s="3"/>
      <c r="P8" s="33"/>
      <c r="Q8" s="2"/>
      <c r="R8" s="2"/>
    </row>
    <row r="9" spans="1:22" ht="15.6">
      <c r="A9" s="2"/>
      <c r="B9" s="99"/>
      <c r="C9" s="101"/>
      <c r="D9" s="97"/>
      <c r="E9" s="92"/>
      <c r="F9" s="92"/>
      <c r="G9" s="93"/>
      <c r="H9" s="94"/>
      <c r="I9" s="2"/>
      <c r="J9" s="41" t="s">
        <v>68</v>
      </c>
      <c r="K9" s="65">
        <v>360</v>
      </c>
      <c r="L9" s="3"/>
      <c r="M9" s="296" t="s">
        <v>83</v>
      </c>
      <c r="N9" s="296"/>
      <c r="O9" s="56" t="s">
        <v>84</v>
      </c>
      <c r="P9" s="75"/>
      <c r="Q9" s="2"/>
      <c r="R9" s="2"/>
    </row>
    <row r="10" spans="1:22" ht="15.6">
      <c r="A10" s="2"/>
      <c r="B10" s="99"/>
      <c r="C10" s="101"/>
      <c r="D10" s="97"/>
      <c r="E10" s="92"/>
      <c r="F10" s="92"/>
      <c r="G10" s="93"/>
      <c r="H10" s="94"/>
      <c r="I10" s="2"/>
      <c r="J10" s="41"/>
      <c r="K10" s="65"/>
      <c r="L10" s="3"/>
      <c r="M10" s="3"/>
      <c r="N10" s="3"/>
      <c r="O10" s="48" t="s">
        <v>85</v>
      </c>
      <c r="P10" s="33"/>
      <c r="Q10" s="2"/>
      <c r="R10" s="2"/>
    </row>
    <row r="11" spans="1:22" ht="15.6">
      <c r="A11" s="2"/>
      <c r="B11" s="102"/>
      <c r="C11" s="93"/>
      <c r="D11" s="97"/>
      <c r="E11" s="93"/>
      <c r="F11" s="93"/>
      <c r="G11" s="93"/>
      <c r="H11" s="94"/>
      <c r="I11" s="2"/>
      <c r="J11" s="32"/>
      <c r="K11" s="3"/>
      <c r="L11" s="3"/>
      <c r="N11" s="3"/>
      <c r="O11" s="3"/>
      <c r="P11" s="33"/>
      <c r="Q11" s="2"/>
      <c r="R11" s="2"/>
    </row>
    <row r="12" spans="1:22" ht="15.6">
      <c r="A12" s="2"/>
      <c r="B12" s="102"/>
      <c r="C12" s="93"/>
      <c r="D12" s="97"/>
      <c r="E12" s="93"/>
      <c r="F12" s="93"/>
      <c r="G12" s="93"/>
      <c r="H12" s="94"/>
      <c r="I12" s="2"/>
      <c r="J12" s="84">
        <f>J14</f>
        <v>9.4595068402290039E-2</v>
      </c>
      <c r="K12" s="3"/>
      <c r="L12" s="3"/>
      <c r="M12" s="63">
        <f>K7</f>
        <v>9.9199999999999997E-2</v>
      </c>
      <c r="N12" s="3"/>
      <c r="O12" s="3"/>
      <c r="P12" s="33"/>
      <c r="Q12" s="2"/>
      <c r="R12" s="2"/>
    </row>
    <row r="13" spans="1:22" ht="15.6">
      <c r="A13" s="2"/>
      <c r="B13" s="103" t="s">
        <v>86</v>
      </c>
      <c r="C13" s="97" t="s">
        <v>69</v>
      </c>
      <c r="D13" s="97" t="s">
        <v>70</v>
      </c>
      <c r="E13" s="97" t="s">
        <v>31</v>
      </c>
      <c r="F13" s="97">
        <v>100</v>
      </c>
      <c r="G13" s="97"/>
      <c r="H13" s="94"/>
      <c r="I13" s="2"/>
      <c r="J13" s="24" t="s">
        <v>67</v>
      </c>
      <c r="K13" s="3" t="s">
        <v>68</v>
      </c>
      <c r="L13" s="3" t="s">
        <v>87</v>
      </c>
      <c r="M13" s="3" t="s">
        <v>88</v>
      </c>
      <c r="N13" s="3" t="s">
        <v>71</v>
      </c>
      <c r="O13" s="3" t="s">
        <v>31</v>
      </c>
      <c r="P13" s="33"/>
      <c r="Q13" s="2"/>
      <c r="R13" s="2"/>
    </row>
    <row r="14" spans="1:22" ht="15.6">
      <c r="A14" s="2"/>
      <c r="B14" s="104">
        <f>((C14/D14)-E14)*F14</f>
        <v>100</v>
      </c>
      <c r="C14" s="105">
        <f>C7</f>
        <v>200</v>
      </c>
      <c r="D14" s="106">
        <f>C8</f>
        <v>100</v>
      </c>
      <c r="E14" s="105">
        <v>1</v>
      </c>
      <c r="F14" s="107">
        <v>100</v>
      </c>
      <c r="G14" s="108"/>
      <c r="H14" s="94"/>
      <c r="I14" s="2"/>
      <c r="J14" s="80">
        <f>K14*((L14+M14)^(1/N14)-O14)</f>
        <v>9.4595068402290039E-2</v>
      </c>
      <c r="K14" s="55">
        <f>K9</f>
        <v>360</v>
      </c>
      <c r="L14" s="56">
        <v>1</v>
      </c>
      <c r="M14" s="66">
        <f>K7</f>
        <v>9.9199999999999997E-2</v>
      </c>
      <c r="N14" s="55">
        <f>K8</f>
        <v>360</v>
      </c>
      <c r="O14" s="56">
        <v>1</v>
      </c>
      <c r="P14" s="33"/>
      <c r="Q14" s="2"/>
      <c r="R14" s="2"/>
    </row>
    <row r="15" spans="1:22" ht="16.2" thickBot="1">
      <c r="A15" s="2"/>
      <c r="B15" s="109"/>
      <c r="C15" s="110"/>
      <c r="D15" s="111"/>
      <c r="E15" s="112"/>
      <c r="F15" s="110"/>
      <c r="G15" s="113"/>
      <c r="H15" s="114"/>
      <c r="I15" s="2"/>
      <c r="J15" s="26"/>
      <c r="K15" s="39"/>
      <c r="L15" s="39"/>
      <c r="M15" s="28"/>
      <c r="N15" s="40"/>
      <c r="O15" s="27"/>
      <c r="P15" s="34"/>
      <c r="Q15" s="2"/>
      <c r="R15" s="2"/>
    </row>
    <row r="16" spans="1:22" ht="16.2" thickBot="1">
      <c r="A16" s="2"/>
      <c r="B16" s="2"/>
      <c r="C16" s="2"/>
      <c r="D16" s="3"/>
      <c r="E16" s="2"/>
      <c r="F16" s="2"/>
      <c r="G16" s="2"/>
      <c r="H16" s="2"/>
      <c r="I16" s="2"/>
      <c r="J16" s="3"/>
      <c r="K16" s="3"/>
      <c r="L16" s="3"/>
      <c r="M16" s="3"/>
      <c r="N16" s="3"/>
      <c r="O16" s="3"/>
      <c r="P16" s="3"/>
      <c r="Q16" s="2"/>
      <c r="R16" s="2"/>
    </row>
    <row r="17" spans="1:18" ht="16.2" thickBot="1">
      <c r="A17" s="2"/>
      <c r="B17" s="287" t="s">
        <v>89</v>
      </c>
      <c r="C17" s="288"/>
      <c r="D17" s="288"/>
      <c r="E17" s="288"/>
      <c r="F17" s="288"/>
      <c r="G17" s="288"/>
      <c r="H17" s="289"/>
      <c r="I17" s="2"/>
      <c r="J17" s="287" t="s">
        <v>90</v>
      </c>
      <c r="K17" s="285"/>
      <c r="L17" s="285"/>
      <c r="M17" s="285"/>
      <c r="N17" s="285"/>
      <c r="O17" s="285"/>
      <c r="P17" s="286"/>
      <c r="Q17" s="2"/>
      <c r="R17" s="2"/>
    </row>
    <row r="18" spans="1:18" ht="15.6">
      <c r="A18" s="2"/>
      <c r="B18" s="31"/>
      <c r="C18" s="18"/>
      <c r="D18" s="72"/>
      <c r="E18" s="18"/>
      <c r="F18" s="18"/>
      <c r="G18" s="18"/>
      <c r="H18" s="19"/>
      <c r="I18" s="2"/>
      <c r="J18" s="32"/>
      <c r="K18" s="3"/>
      <c r="L18" s="3"/>
      <c r="M18" s="3"/>
      <c r="N18" s="3"/>
      <c r="O18" s="3"/>
      <c r="P18" s="33"/>
      <c r="Q18" s="2"/>
      <c r="R18" s="2"/>
    </row>
    <row r="19" spans="1:18" ht="15.6">
      <c r="A19" s="2"/>
      <c r="B19" s="291" t="s">
        <v>79</v>
      </c>
      <c r="C19" s="292"/>
      <c r="D19" s="74" t="s">
        <v>62</v>
      </c>
      <c r="E19" s="2"/>
      <c r="F19" s="2"/>
      <c r="G19" s="2"/>
      <c r="H19" s="22"/>
      <c r="I19" s="2"/>
      <c r="J19" s="291"/>
      <c r="K19" s="292"/>
      <c r="L19" s="53"/>
      <c r="M19" s="3"/>
      <c r="N19" s="3"/>
      <c r="O19" s="3"/>
      <c r="P19" s="33"/>
      <c r="Q19" s="2"/>
      <c r="R19" s="2"/>
    </row>
    <row r="20" spans="1:18" ht="15.6">
      <c r="A20" s="2"/>
      <c r="B20" s="44" t="s">
        <v>91</v>
      </c>
      <c r="C20" s="67">
        <v>9.5000000000000001E-2</v>
      </c>
      <c r="D20" s="3" t="s">
        <v>37</v>
      </c>
      <c r="E20" s="2"/>
      <c r="F20" s="2"/>
      <c r="G20" s="2"/>
      <c r="H20" s="22"/>
      <c r="I20" s="2"/>
      <c r="J20" s="41" t="s">
        <v>92</v>
      </c>
      <c r="K20" s="240">
        <v>1.4E-2</v>
      </c>
      <c r="L20" s="3" t="s">
        <v>62</v>
      </c>
      <c r="M20" s="3"/>
      <c r="N20" s="3"/>
      <c r="O20" s="3"/>
      <c r="P20" s="33"/>
      <c r="Q20" s="2"/>
      <c r="R20" s="2"/>
    </row>
    <row r="21" spans="1:18" ht="15.6">
      <c r="A21" s="2"/>
      <c r="B21" s="44" t="s">
        <v>68</v>
      </c>
      <c r="C21" s="59">
        <v>12</v>
      </c>
      <c r="D21" s="3"/>
      <c r="E21" s="2"/>
      <c r="F21" s="2"/>
      <c r="G21" s="2"/>
      <c r="H21" s="22"/>
      <c r="I21" s="2"/>
      <c r="J21" s="41" t="s">
        <v>93</v>
      </c>
      <c r="K21" s="4">
        <v>1</v>
      </c>
      <c r="L21" s="3"/>
      <c r="M21" s="3"/>
      <c r="N21" s="3"/>
      <c r="O21" s="3"/>
      <c r="P21" s="33"/>
      <c r="Q21" s="2"/>
      <c r="R21" s="2"/>
    </row>
    <row r="22" spans="1:18" ht="15.6">
      <c r="A22" s="2"/>
      <c r="B22" s="44" t="s">
        <v>82</v>
      </c>
      <c r="C22" s="58">
        <v>12</v>
      </c>
      <c r="D22" s="3"/>
      <c r="E22" s="301" t="s">
        <v>94</v>
      </c>
      <c r="F22" s="301"/>
      <c r="G22" s="301"/>
      <c r="H22" s="22"/>
      <c r="I22" s="2"/>
      <c r="J22" s="41" t="s">
        <v>95</v>
      </c>
      <c r="K22" s="54">
        <v>6</v>
      </c>
      <c r="L22" s="3"/>
      <c r="M22" s="3"/>
      <c r="N22" s="3"/>
      <c r="O22" s="3"/>
      <c r="P22" s="33"/>
      <c r="Q22" s="2"/>
      <c r="R22" s="2"/>
    </row>
    <row r="23" spans="1:18" ht="15.6">
      <c r="A23" s="2"/>
      <c r="B23" s="44"/>
      <c r="C23" s="58"/>
      <c r="D23" s="3"/>
      <c r="E23" s="302" t="s">
        <v>62</v>
      </c>
      <c r="F23" s="302"/>
      <c r="G23" s="302"/>
      <c r="H23" s="75" t="s">
        <v>96</v>
      </c>
      <c r="I23" s="2"/>
      <c r="J23" s="41"/>
      <c r="K23" s="4"/>
      <c r="L23" s="3"/>
      <c r="M23" s="296" t="s">
        <v>97</v>
      </c>
      <c r="N23" s="296"/>
      <c r="O23" s="3" t="s">
        <v>98</v>
      </c>
      <c r="P23" s="33" t="s">
        <v>99</v>
      </c>
      <c r="Q23" s="2"/>
      <c r="R23" s="2"/>
    </row>
    <row r="24" spans="1:18" ht="15.6">
      <c r="A24" s="2"/>
      <c r="B24" s="43"/>
      <c r="C24" s="60"/>
      <c r="D24" s="3"/>
      <c r="E24" s="2"/>
      <c r="F24" s="2"/>
      <c r="G24" s="2"/>
      <c r="H24" s="22"/>
      <c r="I24" s="2"/>
      <c r="J24" s="32"/>
      <c r="K24" s="3"/>
      <c r="L24" s="3"/>
      <c r="M24" s="3"/>
      <c r="N24" s="3"/>
      <c r="O24" s="3"/>
      <c r="P24" s="33"/>
      <c r="Q24" s="2"/>
      <c r="R24" s="2"/>
    </row>
    <row r="25" spans="1:18" ht="15.6">
      <c r="A25" s="2"/>
      <c r="B25" s="83">
        <f>B27</f>
        <v>9.9247584081007423E-2</v>
      </c>
      <c r="C25" s="60"/>
      <c r="D25" s="63">
        <f>C20</f>
        <v>9.5000000000000001E-2</v>
      </c>
      <c r="E25" s="2"/>
      <c r="F25" s="2"/>
      <c r="G25" s="2"/>
      <c r="H25" s="22"/>
      <c r="I25" s="2"/>
      <c r="J25" s="85">
        <f>J27</f>
        <v>8.6995459474473957E-2</v>
      </c>
      <c r="K25" s="3"/>
      <c r="L25" s="3"/>
      <c r="M25" s="3"/>
      <c r="N25" s="3"/>
      <c r="O25" s="3"/>
      <c r="P25" s="33"/>
      <c r="Q25" s="2"/>
      <c r="R25" s="2"/>
    </row>
    <row r="26" spans="1:18" ht="15.6">
      <c r="A26" s="2"/>
      <c r="B26" s="24" t="s">
        <v>100</v>
      </c>
      <c r="C26" s="3" t="s">
        <v>26</v>
      </c>
      <c r="D26" s="3" t="s">
        <v>52</v>
      </c>
      <c r="E26" s="3" t="s">
        <v>59</v>
      </c>
      <c r="F26" s="3" t="s">
        <v>54</v>
      </c>
      <c r="G26" s="3">
        <v>-1</v>
      </c>
      <c r="H26" s="22"/>
      <c r="I26" s="2"/>
      <c r="J26" s="32" t="s">
        <v>101</v>
      </c>
      <c r="K26" s="3" t="s">
        <v>26</v>
      </c>
      <c r="L26" s="3" t="s">
        <v>102</v>
      </c>
      <c r="M26" s="3" t="s">
        <v>103</v>
      </c>
      <c r="N26" s="3" t="s">
        <v>104</v>
      </c>
      <c r="O26" s="3">
        <v>1</v>
      </c>
      <c r="P26" s="33"/>
      <c r="Q26" s="2"/>
      <c r="R26" s="2"/>
    </row>
    <row r="27" spans="1:18" ht="15.6">
      <c r="A27" s="3"/>
      <c r="B27" s="81">
        <f>((C27+(D27/E27))^F27)-1</f>
        <v>9.9247584081007423E-2</v>
      </c>
      <c r="C27" s="48">
        <v>1</v>
      </c>
      <c r="D27" s="61">
        <f>C20</f>
        <v>9.5000000000000001E-2</v>
      </c>
      <c r="E27" s="57">
        <f>C21</f>
        <v>12</v>
      </c>
      <c r="F27" s="48">
        <f>C22</f>
        <v>12</v>
      </c>
      <c r="G27" s="56">
        <v>1</v>
      </c>
      <c r="H27" s="33"/>
      <c r="I27" s="3"/>
      <c r="J27" s="82">
        <f>(K27+L27)^(M27/N27)-O27</f>
        <v>8.6995459474473957E-2</v>
      </c>
      <c r="K27" s="55">
        <v>1</v>
      </c>
      <c r="L27" s="47">
        <f>K20</f>
        <v>1.4E-2</v>
      </c>
      <c r="M27" s="55">
        <f>K22</f>
        <v>6</v>
      </c>
      <c r="N27" s="25">
        <f>K21</f>
        <v>1</v>
      </c>
      <c r="O27" s="51">
        <v>1</v>
      </c>
      <c r="P27" s="33"/>
      <c r="Q27" s="3"/>
      <c r="R27" s="2"/>
    </row>
    <row r="28" spans="1:18" ht="16.2" thickBot="1">
      <c r="A28" s="3"/>
      <c r="B28" s="26"/>
      <c r="C28" s="37"/>
      <c r="D28" s="28"/>
      <c r="E28" s="38"/>
      <c r="F28" s="37"/>
      <c r="G28" s="37"/>
      <c r="H28" s="34"/>
      <c r="I28" s="3"/>
      <c r="J28" s="42"/>
      <c r="K28" s="37"/>
      <c r="L28" s="37"/>
      <c r="M28" s="28"/>
      <c r="N28" s="37"/>
      <c r="O28" s="27"/>
      <c r="P28" s="34"/>
      <c r="Q28" s="3"/>
      <c r="R28" s="2"/>
    </row>
    <row r="29" spans="1:18" ht="15.6">
      <c r="A29" s="3"/>
      <c r="B29" s="51"/>
      <c r="C29" s="50"/>
      <c r="D29" s="51"/>
      <c r="E29" s="78"/>
      <c r="F29" s="50"/>
      <c r="G29" s="50"/>
      <c r="H29" s="3"/>
      <c r="I29" s="3"/>
      <c r="J29" s="79"/>
      <c r="K29" s="50"/>
      <c r="L29" s="50"/>
      <c r="M29" s="51"/>
      <c r="N29" s="50"/>
      <c r="O29" s="3"/>
      <c r="P29" s="3"/>
      <c r="Q29" s="3"/>
      <c r="R29" s="2"/>
    </row>
    <row r="30" spans="1:18" ht="24.6">
      <c r="A30" s="3"/>
      <c r="B30" s="298" t="s">
        <v>105</v>
      </c>
      <c r="C30" s="298"/>
      <c r="D30" s="298"/>
      <c r="E30" s="298"/>
      <c r="F30" s="298"/>
      <c r="G30" s="298"/>
      <c r="H30" s="298"/>
      <c r="I30" s="298"/>
      <c r="J30" s="298"/>
      <c r="K30" s="298"/>
      <c r="L30" s="298"/>
      <c r="M30" s="298"/>
      <c r="N30" s="298"/>
      <c r="O30" s="298"/>
      <c r="P30" s="298"/>
      <c r="Q30" s="3"/>
      <c r="R30" s="2"/>
    </row>
    <row r="31" spans="1:18" ht="16.2" thickBot="1">
      <c r="A31" s="2"/>
      <c r="B31" s="2"/>
      <c r="C31" s="2"/>
      <c r="D31" s="3"/>
      <c r="E31" s="2"/>
      <c r="F31" s="2"/>
      <c r="G31" s="2"/>
      <c r="H31" s="2"/>
      <c r="I31" s="2"/>
      <c r="J31" s="3"/>
      <c r="K31" s="3"/>
      <c r="L31" s="3"/>
      <c r="M31" s="3"/>
      <c r="N31" s="3"/>
      <c r="O31" s="3"/>
      <c r="P31" s="3"/>
      <c r="Q31" s="2"/>
      <c r="R31" s="2"/>
    </row>
    <row r="32" spans="1:18" ht="16.2" thickBot="1">
      <c r="A32" s="2"/>
      <c r="B32" s="287" t="s">
        <v>106</v>
      </c>
      <c r="C32" s="288"/>
      <c r="D32" s="288"/>
      <c r="E32" s="288"/>
      <c r="F32" s="288"/>
      <c r="G32" s="288"/>
      <c r="H32" s="289"/>
      <c r="I32" s="2"/>
      <c r="J32" s="287" t="s">
        <v>107</v>
      </c>
      <c r="K32" s="285"/>
      <c r="L32" s="285"/>
      <c r="M32" s="285"/>
      <c r="N32" s="285"/>
      <c r="O32" s="285"/>
      <c r="P32" s="286"/>
    </row>
    <row r="33" spans="1:20" ht="15.6">
      <c r="A33" s="2"/>
      <c r="B33" s="31"/>
      <c r="C33" s="18"/>
      <c r="D33" s="72"/>
      <c r="E33" s="18"/>
      <c r="F33" s="18"/>
      <c r="G33" s="18"/>
      <c r="H33" s="19"/>
      <c r="I33" s="2"/>
      <c r="J33" s="32"/>
      <c r="K33" s="3"/>
      <c r="L33" s="3"/>
      <c r="M33" s="3"/>
      <c r="N33" s="3"/>
      <c r="O33" s="3"/>
      <c r="P33" s="33"/>
      <c r="R33">
        <v>6324.48</v>
      </c>
      <c r="S33">
        <v>4880</v>
      </c>
      <c r="T33">
        <f>R33-S33</f>
        <v>1444.4799999999996</v>
      </c>
    </row>
    <row r="34" spans="1:20" ht="15.6">
      <c r="A34" s="2"/>
      <c r="B34" s="299"/>
      <c r="C34" s="300"/>
      <c r="D34" s="73"/>
      <c r="E34" s="2"/>
      <c r="F34" s="2"/>
      <c r="G34" s="2"/>
      <c r="H34" s="22"/>
      <c r="I34" s="2"/>
      <c r="J34" s="291" t="s">
        <v>79</v>
      </c>
      <c r="K34" s="292"/>
      <c r="L34" s="117"/>
      <c r="M34" s="134"/>
      <c r="N34" s="134"/>
      <c r="O34" s="134"/>
      <c r="P34" s="118"/>
      <c r="R34">
        <v>5117.67</v>
      </c>
      <c r="S34">
        <v>4040</v>
      </c>
      <c r="T34">
        <f t="shared" ref="T34:T37" si="0">R34-S34</f>
        <v>1077.67</v>
      </c>
    </row>
    <row r="35" spans="1:20" ht="15.6">
      <c r="A35" s="2"/>
      <c r="B35" s="122" t="s">
        <v>81</v>
      </c>
      <c r="C35" s="216">
        <v>1.7500000000000002E-2</v>
      </c>
      <c r="D35" s="124" t="s">
        <v>37</v>
      </c>
      <c r="E35" s="125"/>
      <c r="F35" s="125"/>
      <c r="G35" s="125"/>
      <c r="H35" s="126"/>
      <c r="I35" s="2"/>
      <c r="J35" s="119" t="s">
        <v>20</v>
      </c>
      <c r="K35" s="115">
        <v>440</v>
      </c>
      <c r="L35" s="134"/>
      <c r="M35" s="134"/>
      <c r="N35" s="134"/>
      <c r="O35" s="134"/>
      <c r="P35" s="118"/>
      <c r="R35">
        <v>5432.6</v>
      </c>
      <c r="S35">
        <v>4600</v>
      </c>
      <c r="T35">
        <f t="shared" si="0"/>
        <v>832.60000000000036</v>
      </c>
    </row>
    <row r="36" spans="1:20" ht="15.6">
      <c r="A36" s="2"/>
      <c r="B36" s="122" t="s">
        <v>25</v>
      </c>
      <c r="C36" s="123">
        <v>5100</v>
      </c>
      <c r="D36" s="124"/>
      <c r="E36" s="125"/>
      <c r="F36" s="125"/>
      <c r="G36" s="125"/>
      <c r="H36" s="126"/>
      <c r="I36" s="2"/>
      <c r="J36" s="119" t="s">
        <v>81</v>
      </c>
      <c r="K36" s="154">
        <v>6.0000000000000001E-3</v>
      </c>
      <c r="L36" s="134" t="s">
        <v>62</v>
      </c>
      <c r="M36" s="134"/>
      <c r="N36" s="134"/>
      <c r="O36" s="134"/>
      <c r="P36" s="118"/>
      <c r="R36">
        <v>6280.34</v>
      </c>
      <c r="S36">
        <v>5100</v>
      </c>
      <c r="T36">
        <f t="shared" si="0"/>
        <v>1180.3400000000001</v>
      </c>
    </row>
    <row r="37" spans="1:20" ht="15.6">
      <c r="A37" s="2"/>
      <c r="B37" s="122" t="s">
        <v>108</v>
      </c>
      <c r="C37" s="127">
        <v>360</v>
      </c>
      <c r="D37" s="124"/>
      <c r="E37" s="295"/>
      <c r="F37" s="295"/>
      <c r="G37" s="295"/>
      <c r="H37" s="126"/>
      <c r="I37" s="2"/>
      <c r="J37" s="122" t="s">
        <v>108</v>
      </c>
      <c r="K37" s="54">
        <v>90</v>
      </c>
      <c r="L37" s="134"/>
      <c r="M37" s="134"/>
      <c r="N37" s="134"/>
      <c r="O37" s="134"/>
      <c r="P37" s="118"/>
      <c r="R37">
        <v>8139.1</v>
      </c>
      <c r="S37">
        <v>6360</v>
      </c>
      <c r="T37">
        <f t="shared" si="0"/>
        <v>1779.1000000000004</v>
      </c>
    </row>
    <row r="38" spans="1:20" ht="15.6">
      <c r="A38" s="2"/>
      <c r="B38" s="122" t="s">
        <v>109</v>
      </c>
      <c r="C38" s="127">
        <v>30</v>
      </c>
      <c r="D38" s="124"/>
      <c r="H38" s="128"/>
      <c r="I38" s="2"/>
      <c r="J38" s="122" t="s">
        <v>109</v>
      </c>
      <c r="K38" s="145">
        <v>30</v>
      </c>
      <c r="L38" s="134"/>
      <c r="M38" s="134"/>
      <c r="N38" s="134"/>
      <c r="O38" s="134"/>
      <c r="P38" s="118"/>
    </row>
    <row r="39" spans="1:20" ht="15.6">
      <c r="A39" s="2"/>
      <c r="B39" s="129"/>
      <c r="C39" s="130"/>
      <c r="D39" s="124"/>
      <c r="E39" s="293"/>
      <c r="F39" s="293"/>
      <c r="G39" s="293"/>
      <c r="H39" s="126"/>
      <c r="I39" s="2"/>
      <c r="J39" s="120"/>
      <c r="K39" s="134"/>
      <c r="L39" s="134"/>
      <c r="M39" s="134"/>
      <c r="N39" s="134"/>
      <c r="O39" s="134"/>
      <c r="P39" s="118"/>
    </row>
    <row r="40" spans="1:20" ht="15.6">
      <c r="A40" s="2"/>
      <c r="B40" s="137"/>
      <c r="C40" s="124"/>
      <c r="D40" s="124"/>
      <c r="E40" s="116">
        <f>C35</f>
        <v>1.7500000000000002E-2</v>
      </c>
      <c r="F40" s="124"/>
      <c r="G40" s="124"/>
      <c r="H40" s="126"/>
      <c r="I40" s="2"/>
      <c r="J40" s="120"/>
      <c r="K40" s="134"/>
      <c r="L40" s="134"/>
      <c r="M40" s="134">
        <f>M42</f>
        <v>6.0000000000000001E-3</v>
      </c>
      <c r="N40" s="134"/>
      <c r="O40" s="134"/>
      <c r="P40" s="118"/>
    </row>
    <row r="41" spans="1:20" ht="16.2" thickBot="1">
      <c r="A41" s="2"/>
      <c r="B41" s="131" t="s">
        <v>24</v>
      </c>
      <c r="C41" s="124" t="s">
        <v>25</v>
      </c>
      <c r="D41" s="124" t="s">
        <v>87</v>
      </c>
      <c r="E41" s="124" t="s">
        <v>88</v>
      </c>
      <c r="F41" s="124" t="s">
        <v>110</v>
      </c>
      <c r="G41" s="124" t="s">
        <v>111</v>
      </c>
      <c r="H41" s="126"/>
      <c r="I41" s="2"/>
      <c r="J41" s="121" t="s">
        <v>38</v>
      </c>
      <c r="K41" s="134" t="s">
        <v>39</v>
      </c>
      <c r="L41" s="134" t="s">
        <v>112</v>
      </c>
      <c r="M41" s="134" t="s">
        <v>88</v>
      </c>
      <c r="N41" s="134" t="s">
        <v>113</v>
      </c>
      <c r="O41" s="134" t="s">
        <v>114</v>
      </c>
      <c r="P41" s="155" t="s">
        <v>115</v>
      </c>
    </row>
    <row r="42" spans="1:20" ht="16.2" thickBot="1">
      <c r="A42" s="3"/>
      <c r="B42" s="142">
        <f>C42*((D42+E42)^(F42/G42))</f>
        <v>6280.3405062184411</v>
      </c>
      <c r="C42" s="57">
        <f>C36</f>
        <v>5100</v>
      </c>
      <c r="D42" s="132">
        <v>1</v>
      </c>
      <c r="E42" s="141">
        <f>C35</f>
        <v>1.7500000000000002E-2</v>
      </c>
      <c r="F42" s="57">
        <f>C37</f>
        <v>360</v>
      </c>
      <c r="G42" s="57">
        <f>C38</f>
        <v>30</v>
      </c>
      <c r="H42" s="133"/>
      <c r="I42" s="3"/>
      <c r="J42" s="139">
        <f>K42/((L42+M42)^(N42/O42)-P42)</f>
        <v>432.1740980823202</v>
      </c>
      <c r="K42" s="55">
        <f>K35</f>
        <v>440</v>
      </c>
      <c r="L42" s="136">
        <v>1</v>
      </c>
      <c r="M42" s="146">
        <f>K36</f>
        <v>6.0000000000000001E-3</v>
      </c>
      <c r="N42" s="55">
        <f>K37</f>
        <v>90</v>
      </c>
      <c r="O42" s="138">
        <f>K38</f>
        <v>30</v>
      </c>
      <c r="P42" s="156">
        <v>0</v>
      </c>
    </row>
    <row r="43" spans="1:20" ht="16.2" thickBot="1">
      <c r="A43" s="3"/>
      <c r="B43" s="26"/>
      <c r="C43" s="37"/>
      <c r="D43" s="28"/>
      <c r="E43" s="38"/>
      <c r="F43" s="37"/>
      <c r="G43" s="37"/>
      <c r="H43" s="34"/>
      <c r="I43" s="3"/>
      <c r="J43" s="42"/>
      <c r="K43" s="37"/>
      <c r="L43" s="37"/>
      <c r="M43" s="28"/>
      <c r="N43" s="37"/>
      <c r="O43" s="27"/>
      <c r="P43" s="34"/>
    </row>
    <row r="44" spans="1:20" ht="15" thickBot="1">
      <c r="A44">
        <f>B42*18</f>
        <v>113046.12911193194</v>
      </c>
    </row>
    <row r="45" spans="1:20" ht="16.2" thickBot="1">
      <c r="A45" s="2"/>
      <c r="B45" s="287" t="s">
        <v>116</v>
      </c>
      <c r="C45" s="288"/>
      <c r="D45" s="288"/>
      <c r="E45" s="288"/>
      <c r="F45" s="288"/>
      <c r="G45" s="288"/>
      <c r="H45" s="289"/>
      <c r="I45" s="2"/>
      <c r="J45" s="287" t="s">
        <v>117</v>
      </c>
      <c r="K45" s="285"/>
      <c r="L45" s="285"/>
      <c r="M45" s="285"/>
      <c r="N45" s="285"/>
      <c r="O45" s="285"/>
      <c r="P45" s="286"/>
    </row>
    <row r="46" spans="1:20" ht="15.6">
      <c r="A46" s="2"/>
      <c r="B46" s="31"/>
      <c r="C46" s="18"/>
      <c r="D46" s="72"/>
      <c r="E46" s="18"/>
      <c r="F46" s="18"/>
      <c r="G46" s="18"/>
      <c r="H46" s="19"/>
      <c r="I46" s="2"/>
      <c r="J46" s="32"/>
      <c r="K46" s="3"/>
      <c r="L46" s="3"/>
      <c r="M46" s="3"/>
      <c r="N46" s="3"/>
      <c r="O46" s="3"/>
      <c r="P46" s="33"/>
    </row>
    <row r="47" spans="1:20" ht="15.6">
      <c r="A47" s="2"/>
      <c r="B47" s="291" t="s">
        <v>79</v>
      </c>
      <c r="C47" s="292"/>
      <c r="D47" s="74"/>
      <c r="E47" s="2"/>
      <c r="F47" s="2"/>
      <c r="G47" s="2"/>
      <c r="H47" s="22"/>
      <c r="I47" s="2"/>
      <c r="J47" s="291" t="s">
        <v>79</v>
      </c>
      <c r="K47" s="292"/>
      <c r="L47" s="117"/>
      <c r="M47" s="134"/>
      <c r="N47" s="134"/>
      <c r="O47" s="134"/>
      <c r="P47" s="118"/>
    </row>
    <row r="48" spans="1:20" ht="15.6">
      <c r="A48" s="2"/>
      <c r="B48" s="122" t="s">
        <v>20</v>
      </c>
      <c r="C48" s="64">
        <v>14750</v>
      </c>
      <c r="D48" s="124"/>
      <c r="E48" s="125"/>
      <c r="F48" s="125"/>
      <c r="G48" s="125"/>
      <c r="H48" s="126"/>
      <c r="I48" s="2"/>
      <c r="J48" s="119" t="s">
        <v>20</v>
      </c>
      <c r="K48" s="115">
        <v>5450</v>
      </c>
      <c r="L48" s="134"/>
      <c r="M48" s="134"/>
      <c r="N48" s="134"/>
      <c r="O48" s="134"/>
      <c r="P48" s="118"/>
    </row>
    <row r="49" spans="1:16" ht="15.6">
      <c r="A49" s="2"/>
      <c r="B49" s="122" t="s">
        <v>19</v>
      </c>
      <c r="C49" s="64">
        <v>1350</v>
      </c>
      <c r="D49" s="124"/>
      <c r="E49" s="125"/>
      <c r="F49" s="125"/>
      <c r="G49" s="125"/>
      <c r="H49" s="126"/>
      <c r="I49" s="2"/>
      <c r="J49" s="119" t="s">
        <v>19</v>
      </c>
      <c r="K49" s="65">
        <v>5000</v>
      </c>
      <c r="L49" s="134"/>
      <c r="M49" s="134"/>
      <c r="N49" s="134"/>
      <c r="O49" s="134"/>
      <c r="P49" s="118"/>
    </row>
    <row r="50" spans="1:16" ht="15.6">
      <c r="A50" s="2"/>
      <c r="B50" s="122" t="s">
        <v>81</v>
      </c>
      <c r="C50" s="15">
        <v>0.04</v>
      </c>
      <c r="D50" s="57" t="s">
        <v>98</v>
      </c>
      <c r="E50" s="295"/>
      <c r="F50" s="295"/>
      <c r="G50" s="295"/>
      <c r="H50" s="126"/>
      <c r="I50" s="2"/>
      <c r="J50" s="122" t="s">
        <v>108</v>
      </c>
      <c r="K50" s="54">
        <v>180</v>
      </c>
      <c r="L50" s="134"/>
      <c r="M50" s="134"/>
      <c r="N50" s="134"/>
      <c r="O50" s="134"/>
      <c r="P50" s="118"/>
    </row>
    <row r="51" spans="1:16" ht="15.6">
      <c r="A51" s="2"/>
      <c r="B51" s="122" t="s">
        <v>118</v>
      </c>
      <c r="C51" s="127">
        <v>180</v>
      </c>
      <c r="D51" s="124"/>
      <c r="E51" s="293"/>
      <c r="F51" s="293"/>
      <c r="G51" s="293"/>
      <c r="H51" s="128"/>
      <c r="I51" s="2"/>
      <c r="J51" s="122" t="s">
        <v>109</v>
      </c>
      <c r="K51" s="145">
        <v>360</v>
      </c>
      <c r="L51" s="134"/>
      <c r="M51" s="294" t="s">
        <v>119</v>
      </c>
      <c r="N51" s="294"/>
      <c r="O51" s="147" t="s">
        <v>37</v>
      </c>
      <c r="P51" s="118"/>
    </row>
    <row r="52" spans="1:16" ht="15.6">
      <c r="A52" s="2"/>
      <c r="B52" s="129"/>
      <c r="C52" s="130"/>
      <c r="D52" s="124"/>
      <c r="E52" s="125"/>
      <c r="F52" s="125"/>
      <c r="G52" s="125"/>
      <c r="H52" s="126"/>
      <c r="I52" s="2"/>
      <c r="J52" s="120"/>
      <c r="K52" s="134"/>
      <c r="L52" s="134"/>
      <c r="M52" s="134"/>
      <c r="N52" s="134"/>
      <c r="O52" s="134"/>
      <c r="P52" s="118"/>
    </row>
    <row r="53" spans="1:16" ht="15.6">
      <c r="A53" s="2"/>
      <c r="B53" s="137"/>
      <c r="C53" s="124"/>
      <c r="D53" s="124"/>
      <c r="E53" s="124"/>
      <c r="F53" s="116">
        <f>F55</f>
        <v>0.04</v>
      </c>
      <c r="G53" s="124"/>
      <c r="H53" s="133"/>
      <c r="I53" s="2"/>
      <c r="J53" s="76">
        <f>J55</f>
        <v>0.18810000000000016</v>
      </c>
      <c r="K53" s="134"/>
      <c r="L53" s="134"/>
      <c r="M53" s="134"/>
      <c r="N53" s="134"/>
      <c r="O53" s="134"/>
      <c r="P53" s="118"/>
    </row>
    <row r="54" spans="1:16" ht="15.6">
      <c r="A54" s="2"/>
      <c r="B54" s="131" t="s">
        <v>120</v>
      </c>
      <c r="C54" s="124" t="s">
        <v>56</v>
      </c>
      <c r="D54" s="124" t="s">
        <v>57</v>
      </c>
      <c r="E54" s="124" t="s">
        <v>121</v>
      </c>
      <c r="F54" s="124" t="s">
        <v>122</v>
      </c>
      <c r="G54" s="124" t="s">
        <v>118</v>
      </c>
      <c r="H54" s="126"/>
      <c r="I54" s="2"/>
      <c r="J54" s="121" t="s">
        <v>100</v>
      </c>
      <c r="K54" s="134" t="s">
        <v>69</v>
      </c>
      <c r="L54" s="134" t="s">
        <v>70</v>
      </c>
      <c r="M54" s="134" t="s">
        <v>123</v>
      </c>
      <c r="N54" s="134" t="s">
        <v>124</v>
      </c>
      <c r="O54" s="124">
        <v>-1</v>
      </c>
      <c r="P54" s="118"/>
    </row>
    <row r="55" spans="1:16" ht="15.6">
      <c r="A55" s="3"/>
      <c r="B55" s="140">
        <f>(LN(C55/D55)/LN(E55+F55))*G55</f>
        <v>10973.91897435142</v>
      </c>
      <c r="C55" s="149">
        <f>C48</f>
        <v>14750</v>
      </c>
      <c r="D55" s="150">
        <f>C49</f>
        <v>1350</v>
      </c>
      <c r="E55" s="136">
        <v>1</v>
      </c>
      <c r="F55" s="144">
        <f>C50</f>
        <v>0.04</v>
      </c>
      <c r="G55" s="136">
        <f>C51</f>
        <v>180</v>
      </c>
      <c r="H55" s="133"/>
      <c r="I55" s="3"/>
      <c r="J55" s="143">
        <f>((K55/L55)^(M55/N55))-O55</f>
        <v>0.18810000000000016</v>
      </c>
      <c r="K55" s="55">
        <f>K48</f>
        <v>5450</v>
      </c>
      <c r="L55" s="55">
        <f>K49</f>
        <v>5000</v>
      </c>
      <c r="M55" s="55">
        <f>K51</f>
        <v>360</v>
      </c>
      <c r="N55" s="55">
        <f>K50</f>
        <v>180</v>
      </c>
      <c r="O55" s="138">
        <v>1</v>
      </c>
      <c r="P55" s="133"/>
    </row>
    <row r="56" spans="1:16" ht="15.6">
      <c r="B56" s="52"/>
      <c r="H56" s="148"/>
      <c r="J56" s="52"/>
      <c r="L56" s="1"/>
    </row>
    <row r="57" spans="1:16" ht="15.6">
      <c r="A57" s="3"/>
      <c r="B57" s="52"/>
      <c r="C57" s="57"/>
      <c r="D57" s="135"/>
      <c r="E57" s="136"/>
      <c r="F57" s="144"/>
      <c r="G57" s="136"/>
      <c r="H57" s="133"/>
      <c r="I57" s="3"/>
      <c r="J57" s="52"/>
      <c r="K57" s="57"/>
      <c r="L57" s="135"/>
      <c r="M57" s="136"/>
      <c r="N57" s="144"/>
      <c r="O57" s="136"/>
      <c r="P57" s="133"/>
    </row>
    <row r="58" spans="1:16" ht="16.2" thickBot="1">
      <c r="A58" s="3"/>
      <c r="B58" s="26"/>
      <c r="C58" s="37"/>
      <c r="D58" s="28"/>
      <c r="E58" s="38"/>
      <c r="F58" s="37"/>
      <c r="G58" s="37"/>
      <c r="H58" s="34"/>
      <c r="I58" s="3"/>
      <c r="J58" s="26"/>
      <c r="K58" s="37"/>
      <c r="L58" s="28"/>
      <c r="M58" s="38"/>
      <c r="N58" s="37"/>
      <c r="O58" s="37"/>
      <c r="P58" s="34"/>
    </row>
  </sheetData>
  <mergeCells count="28">
    <mergeCell ref="T4:V4"/>
    <mergeCell ref="B4:H4"/>
    <mergeCell ref="J4:P4"/>
    <mergeCell ref="B6:C6"/>
    <mergeCell ref="J6:K6"/>
    <mergeCell ref="B2:P2"/>
    <mergeCell ref="B30:P30"/>
    <mergeCell ref="B32:H32"/>
    <mergeCell ref="J32:P32"/>
    <mergeCell ref="B34:C34"/>
    <mergeCell ref="J34:K34"/>
    <mergeCell ref="B19:C19"/>
    <mergeCell ref="J19:K19"/>
    <mergeCell ref="E22:G22"/>
    <mergeCell ref="E23:G23"/>
    <mergeCell ref="M9:N9"/>
    <mergeCell ref="B17:H17"/>
    <mergeCell ref="J17:P17"/>
    <mergeCell ref="E51:G51"/>
    <mergeCell ref="M51:N51"/>
    <mergeCell ref="E37:G37"/>
    <mergeCell ref="E39:G39"/>
    <mergeCell ref="M23:N23"/>
    <mergeCell ref="B45:H45"/>
    <mergeCell ref="J45:P45"/>
    <mergeCell ref="B47:C47"/>
    <mergeCell ref="J47:K47"/>
    <mergeCell ref="E50:G5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E48F6-E5F2-40DD-9DA5-32D7F23BE7A8}">
  <dimension ref="B2:AI153"/>
  <sheetViews>
    <sheetView zoomScale="85" zoomScaleNormal="85" workbookViewId="0">
      <selection activeCell="I9" sqref="I9"/>
    </sheetView>
  </sheetViews>
  <sheetFormatPr baseColWidth="10" defaultColWidth="11.44140625" defaultRowHeight="14.4"/>
  <cols>
    <col min="1" max="1" width="14.6640625" customWidth="1"/>
    <col min="2" max="2" width="22.44140625" bestFit="1" customWidth="1"/>
    <col min="3" max="3" width="17.6640625" customWidth="1"/>
    <col min="4" max="4" width="14.88671875" bestFit="1" customWidth="1"/>
    <col min="5" max="5" width="14.33203125" bestFit="1" customWidth="1"/>
    <col min="10" max="10" width="29.33203125" bestFit="1" customWidth="1"/>
    <col min="11" max="11" width="23.5546875" bestFit="1" customWidth="1"/>
    <col min="12" max="12" width="22.6640625" bestFit="1" customWidth="1"/>
    <col min="13" max="13" width="14.33203125" bestFit="1" customWidth="1"/>
    <col min="14" max="14" width="20.6640625" bestFit="1" customWidth="1"/>
    <col min="15" max="15" width="16.6640625" customWidth="1"/>
    <col min="16" max="16" width="27.6640625" bestFit="1" customWidth="1"/>
    <col min="18" max="18" width="27.44140625" bestFit="1" customWidth="1"/>
    <col min="19" max="19" width="15.6640625" bestFit="1" customWidth="1"/>
    <col min="26" max="26" width="31.33203125" bestFit="1" customWidth="1"/>
    <col min="30" max="30" width="17.6640625" bestFit="1" customWidth="1"/>
    <col min="35" max="35" width="19.6640625" bestFit="1" customWidth="1"/>
  </cols>
  <sheetData>
    <row r="2" spans="2:16" ht="15" thickBot="1"/>
    <row r="3" spans="2:16" ht="16.2" thickBot="1">
      <c r="B3" s="309" t="s">
        <v>125</v>
      </c>
      <c r="C3" s="310"/>
      <c r="D3" s="310"/>
      <c r="E3" s="310"/>
      <c r="F3" s="310"/>
      <c r="G3" s="310"/>
      <c r="H3" s="311"/>
      <c r="J3" s="309" t="s">
        <v>126</v>
      </c>
      <c r="K3" s="310"/>
      <c r="L3" s="310"/>
      <c r="M3" s="310"/>
      <c r="N3" s="310"/>
      <c r="O3" s="310"/>
      <c r="P3" s="311"/>
    </row>
    <row r="4" spans="2:16" ht="15.6">
      <c r="B4" s="16"/>
      <c r="C4" s="17"/>
      <c r="D4" s="72"/>
      <c r="E4" s="17"/>
      <c r="F4" s="17"/>
      <c r="G4" s="18"/>
      <c r="H4" s="19"/>
      <c r="J4" s="16"/>
      <c r="K4" s="17"/>
      <c r="L4" s="72"/>
      <c r="M4" s="17"/>
      <c r="N4" s="17"/>
      <c r="O4" s="18"/>
      <c r="P4" s="19"/>
    </row>
    <row r="5" spans="2:16" ht="15.6">
      <c r="B5" s="291"/>
      <c r="C5" s="292"/>
      <c r="D5" s="74"/>
      <c r="E5" s="21"/>
      <c r="F5" s="21"/>
      <c r="G5" s="2"/>
      <c r="H5" s="22"/>
      <c r="J5" s="291"/>
      <c r="K5" s="292"/>
      <c r="L5" s="74"/>
      <c r="M5" s="21"/>
      <c r="N5" s="21"/>
      <c r="O5" s="2"/>
      <c r="P5" s="22"/>
    </row>
    <row r="6" spans="2:16" ht="15.6">
      <c r="B6" s="46" t="s">
        <v>127</v>
      </c>
      <c r="C6" s="261">
        <v>5.9799999999999999E-2</v>
      </c>
      <c r="D6" s="3"/>
      <c r="E6" s="45"/>
      <c r="F6" s="45"/>
      <c r="G6" s="2"/>
      <c r="H6" s="22"/>
      <c r="J6" s="46" t="s">
        <v>128</v>
      </c>
      <c r="K6" s="176">
        <v>5.9799999999999999E-2</v>
      </c>
      <c r="L6" s="3"/>
      <c r="M6" s="45"/>
      <c r="N6" s="45"/>
      <c r="O6" s="2"/>
      <c r="P6" s="22"/>
    </row>
    <row r="7" spans="2:16" ht="15.6">
      <c r="B7" s="41"/>
      <c r="C7" s="163"/>
      <c r="D7" s="3"/>
      <c r="E7" s="21"/>
      <c r="F7" s="21"/>
      <c r="G7" s="2"/>
      <c r="H7" s="22"/>
      <c r="J7" s="41"/>
      <c r="K7" s="163"/>
      <c r="L7" s="3"/>
      <c r="M7" s="21"/>
      <c r="N7" s="21"/>
      <c r="O7" s="2"/>
      <c r="P7" s="22"/>
    </row>
    <row r="8" spans="2:16" ht="15.6">
      <c r="B8" s="41"/>
      <c r="C8" s="14"/>
      <c r="D8" s="3"/>
      <c r="E8" s="21"/>
      <c r="F8" s="21"/>
      <c r="G8" s="2"/>
      <c r="H8" s="22"/>
      <c r="J8" s="41"/>
      <c r="K8" s="14"/>
      <c r="L8" s="3"/>
      <c r="M8" s="21"/>
      <c r="N8" s="21"/>
      <c r="O8" s="2"/>
      <c r="P8" s="22"/>
    </row>
    <row r="9" spans="2:16" ht="15.6">
      <c r="B9" s="41"/>
      <c r="C9" s="14"/>
      <c r="D9" s="3"/>
      <c r="E9" s="21"/>
      <c r="F9" s="21"/>
      <c r="G9" s="2"/>
      <c r="H9" s="22"/>
      <c r="J9" s="41"/>
      <c r="K9" s="14"/>
      <c r="L9" s="3"/>
      <c r="M9" s="21"/>
      <c r="N9" s="21"/>
      <c r="O9" s="2"/>
      <c r="P9" s="22"/>
    </row>
    <row r="10" spans="2:16" ht="15.6">
      <c r="B10" s="23"/>
      <c r="C10" s="2"/>
      <c r="D10" s="3"/>
      <c r="E10" s="2"/>
      <c r="F10" s="2"/>
      <c r="G10" s="2"/>
      <c r="H10" s="22"/>
      <c r="J10" s="23"/>
      <c r="K10" s="2"/>
      <c r="L10" s="3"/>
      <c r="M10" s="2"/>
      <c r="N10" s="2"/>
      <c r="O10" s="2"/>
      <c r="P10" s="22"/>
    </row>
    <row r="11" spans="2:16" ht="15.6">
      <c r="B11" s="166">
        <f>B13</f>
        <v>5.6425740705793544E-2</v>
      </c>
      <c r="C11" s="2"/>
      <c r="D11" s="3"/>
      <c r="E11" s="2"/>
      <c r="F11" s="2"/>
      <c r="G11" s="2"/>
      <c r="H11" s="22"/>
      <c r="J11" s="167">
        <f>J13</f>
        <v>6.3603488619442664E-2</v>
      </c>
      <c r="K11" s="2"/>
      <c r="L11" s="3"/>
      <c r="M11" s="2"/>
      <c r="N11" s="2"/>
      <c r="O11" s="2"/>
      <c r="P11" s="22"/>
    </row>
    <row r="12" spans="2:16" ht="15.6">
      <c r="B12" s="24" t="s">
        <v>129</v>
      </c>
      <c r="C12" s="3" t="s">
        <v>130</v>
      </c>
      <c r="D12" s="3" t="s">
        <v>131</v>
      </c>
      <c r="E12" s="3">
        <v>1</v>
      </c>
      <c r="F12" s="3"/>
      <c r="G12" s="3"/>
      <c r="H12" s="22"/>
      <c r="J12" s="24" t="s">
        <v>132</v>
      </c>
      <c r="K12" s="3" t="s">
        <v>133</v>
      </c>
      <c r="L12" s="3" t="s">
        <v>134</v>
      </c>
      <c r="M12" s="3" t="s">
        <v>133</v>
      </c>
      <c r="N12" s="3"/>
      <c r="O12" s="3"/>
      <c r="P12" s="22"/>
    </row>
    <row r="13" spans="2:16" ht="15.6">
      <c r="B13" s="175">
        <f>C13/(D13+E13)</f>
        <v>5.6425740705793544E-2</v>
      </c>
      <c r="C13" s="279">
        <f>C6</f>
        <v>5.9799999999999999E-2</v>
      </c>
      <c r="D13" s="280">
        <f>C6</f>
        <v>5.9799999999999999E-2</v>
      </c>
      <c r="E13" s="136">
        <v>1</v>
      </c>
      <c r="F13" s="164"/>
      <c r="G13" s="50"/>
      <c r="H13" s="22"/>
      <c r="J13" s="165">
        <f>K13/(L13-M13)</f>
        <v>6.3603488619442664E-2</v>
      </c>
      <c r="K13" s="169">
        <f>K6</f>
        <v>5.9799999999999999E-2</v>
      </c>
      <c r="L13" s="138">
        <v>1</v>
      </c>
      <c r="M13" s="168">
        <f>K6</f>
        <v>5.9799999999999999E-2</v>
      </c>
      <c r="N13" s="164"/>
      <c r="O13" s="50"/>
      <c r="P13" s="22"/>
    </row>
    <row r="14" spans="2:16" ht="16.2" thickBot="1">
      <c r="B14" s="26"/>
      <c r="C14" s="37"/>
      <c r="D14" s="28"/>
      <c r="E14" s="38"/>
      <c r="F14" s="37"/>
      <c r="G14" s="29"/>
      <c r="H14" s="30"/>
      <c r="J14" s="26"/>
      <c r="K14" s="37"/>
      <c r="L14" s="28"/>
      <c r="M14" s="38"/>
      <c r="N14" s="37"/>
      <c r="O14" s="29"/>
      <c r="P14" s="30"/>
    </row>
    <row r="16" spans="2:16" ht="15" thickBot="1"/>
    <row r="17" spans="2:19" ht="16.2" thickBot="1">
      <c r="B17" s="309" t="s">
        <v>135</v>
      </c>
      <c r="C17" s="310"/>
      <c r="D17" s="310"/>
      <c r="E17" s="310"/>
      <c r="F17" s="310"/>
      <c r="G17" s="310"/>
      <c r="H17" s="311"/>
      <c r="J17" s="309" t="s">
        <v>136</v>
      </c>
      <c r="K17" s="310"/>
      <c r="L17" s="310"/>
      <c r="M17" s="310"/>
      <c r="N17" s="310"/>
      <c r="O17" s="310"/>
      <c r="P17" s="311"/>
    </row>
    <row r="18" spans="2:19" ht="15.6">
      <c r="B18" s="16"/>
      <c r="C18" s="17"/>
      <c r="D18" s="72"/>
      <c r="E18" s="17"/>
      <c r="F18" s="17"/>
      <c r="G18" s="18"/>
      <c r="H18" s="19"/>
      <c r="J18" s="16"/>
      <c r="K18" s="17"/>
      <c r="L18" s="72"/>
      <c r="M18" s="17"/>
      <c r="N18" s="17"/>
      <c r="O18" s="18"/>
      <c r="P18" s="19"/>
    </row>
    <row r="19" spans="2:19" ht="15.6">
      <c r="B19" s="291"/>
      <c r="C19" s="292"/>
      <c r="D19" s="74"/>
      <c r="E19" s="21"/>
      <c r="F19" s="21"/>
      <c r="G19" s="2"/>
      <c r="H19" s="22"/>
      <c r="J19" s="291"/>
      <c r="K19" s="292"/>
      <c r="L19" s="74"/>
      <c r="M19" s="21"/>
      <c r="N19" s="21"/>
      <c r="O19" s="2"/>
      <c r="P19" s="22"/>
    </row>
    <row r="20" spans="2:19" ht="15.6">
      <c r="B20" s="46" t="s">
        <v>137</v>
      </c>
      <c r="C20" s="171">
        <v>18600</v>
      </c>
      <c r="D20" s="3"/>
      <c r="E20" s="45"/>
      <c r="F20" s="45"/>
      <c r="G20" s="2"/>
      <c r="H20" s="22"/>
      <c r="J20" s="46" t="s">
        <v>137</v>
      </c>
      <c r="K20" s="171">
        <v>26300</v>
      </c>
      <c r="L20" s="3"/>
      <c r="M20" s="45"/>
      <c r="N20" s="45"/>
      <c r="O20" s="2"/>
      <c r="P20" s="22"/>
    </row>
    <row r="21" spans="2:19" ht="15.6">
      <c r="B21" s="41" t="s">
        <v>138</v>
      </c>
      <c r="C21" s="179">
        <v>0.13980330806272498</v>
      </c>
      <c r="D21" s="3"/>
      <c r="E21" s="21"/>
      <c r="F21" s="21"/>
      <c r="G21" s="2"/>
      <c r="H21" s="22"/>
      <c r="J21" s="41" t="s">
        <v>139</v>
      </c>
      <c r="K21" s="163">
        <v>0.318</v>
      </c>
      <c r="L21" s="3" t="s">
        <v>37</v>
      </c>
      <c r="M21" s="21"/>
      <c r="N21" s="21"/>
      <c r="O21" s="2"/>
      <c r="P21" s="22"/>
    </row>
    <row r="22" spans="2:19" ht="15.6">
      <c r="B22" s="41"/>
      <c r="C22" s="14"/>
      <c r="D22" s="3"/>
      <c r="E22" s="21"/>
      <c r="F22" s="21"/>
      <c r="G22" s="2"/>
      <c r="H22" s="22"/>
      <c r="J22" s="41" t="s">
        <v>140</v>
      </c>
      <c r="K22" s="14">
        <v>360</v>
      </c>
      <c r="L22" s="3"/>
      <c r="M22" s="21"/>
      <c r="N22" s="21"/>
      <c r="O22" s="2"/>
      <c r="P22" s="22"/>
      <c r="R22">
        <v>82990</v>
      </c>
    </row>
    <row r="23" spans="2:19" ht="15.6">
      <c r="B23" s="41"/>
      <c r="C23" s="14"/>
      <c r="D23" s="3"/>
      <c r="E23" s="21"/>
      <c r="F23" s="21"/>
      <c r="G23" s="2"/>
      <c r="H23" s="22"/>
      <c r="J23" s="41" t="s">
        <v>141</v>
      </c>
      <c r="K23" s="14">
        <v>90</v>
      </c>
      <c r="L23" s="3"/>
      <c r="M23" s="21"/>
      <c r="N23" s="21"/>
      <c r="O23" s="2"/>
      <c r="P23" s="22"/>
    </row>
    <row r="24" spans="2:19" ht="15.6">
      <c r="B24" s="23"/>
      <c r="C24" s="2"/>
      <c r="D24" s="3"/>
      <c r="E24" s="2"/>
      <c r="F24" s="2"/>
      <c r="G24" s="2"/>
      <c r="H24" s="22"/>
      <c r="J24" s="23"/>
      <c r="K24" s="2"/>
      <c r="L24" s="3"/>
      <c r="M24" s="2"/>
      <c r="N24" s="2"/>
      <c r="O24" s="2"/>
      <c r="P24" s="22"/>
    </row>
    <row r="25" spans="2:19" ht="15.6">
      <c r="B25" s="173">
        <f>B27</f>
        <v>15999.658470033315</v>
      </c>
      <c r="C25" s="2"/>
      <c r="D25" s="3"/>
      <c r="E25" s="2"/>
      <c r="F25" s="2"/>
      <c r="G25" s="2"/>
      <c r="H25" s="22"/>
      <c r="J25" s="173">
        <f>J27</f>
        <v>24545.783308581864</v>
      </c>
      <c r="K25" s="2"/>
      <c r="L25" s="3"/>
      <c r="M25" s="2"/>
      <c r="N25" s="2"/>
      <c r="O25" s="2"/>
      <c r="P25" s="22"/>
      <c r="R25">
        <f>R22-(R22*0.1)</f>
        <v>74691</v>
      </c>
    </row>
    <row r="26" spans="2:19" ht="15.6">
      <c r="B26" s="24" t="s">
        <v>142</v>
      </c>
      <c r="C26" s="3" t="s">
        <v>143</v>
      </c>
      <c r="D26" s="3" t="s">
        <v>26</v>
      </c>
      <c r="E26" s="3" t="s">
        <v>144</v>
      </c>
      <c r="F26" s="3"/>
      <c r="G26" s="3"/>
      <c r="H26" s="22"/>
      <c r="J26" s="24" t="s">
        <v>142</v>
      </c>
      <c r="K26" s="3" t="s">
        <v>143</v>
      </c>
      <c r="L26" s="3" t="s">
        <v>26</v>
      </c>
      <c r="M26" s="3" t="s">
        <v>88</v>
      </c>
      <c r="N26" s="3" t="s">
        <v>145</v>
      </c>
      <c r="O26" s="3" t="s">
        <v>146</v>
      </c>
      <c r="P26" s="22"/>
    </row>
    <row r="27" spans="2:19" ht="15.6">
      <c r="B27" s="175">
        <f>C27*(D27-E27)</f>
        <v>15999.658470033315</v>
      </c>
      <c r="C27" s="172">
        <f>C20</f>
        <v>18600</v>
      </c>
      <c r="D27" s="132">
        <v>1</v>
      </c>
      <c r="E27" s="174">
        <f>C21</f>
        <v>0.13980330806272498</v>
      </c>
      <c r="F27" s="164"/>
      <c r="G27" s="50"/>
      <c r="H27" s="22"/>
      <c r="J27" s="175">
        <f>K27*((L27+M27)^-(N27/O27))</f>
        <v>24545.783308581864</v>
      </c>
      <c r="K27" s="172">
        <f>K20</f>
        <v>26300</v>
      </c>
      <c r="L27" s="132">
        <v>1</v>
      </c>
      <c r="M27" s="174">
        <f>K21</f>
        <v>0.318</v>
      </c>
      <c r="N27" s="149">
        <f>K23</f>
        <v>90</v>
      </c>
      <c r="O27" s="50">
        <f>K22</f>
        <v>360</v>
      </c>
      <c r="P27" s="22"/>
    </row>
    <row r="28" spans="2:19" ht="16.2" thickBot="1">
      <c r="B28" s="26"/>
      <c r="C28" s="37"/>
      <c r="D28" s="28"/>
      <c r="E28" s="38"/>
      <c r="F28" s="37"/>
      <c r="G28" s="29"/>
      <c r="H28" s="30"/>
      <c r="J28" s="26"/>
      <c r="K28" s="37"/>
      <c r="L28" s="28"/>
      <c r="M28" s="38"/>
      <c r="N28" s="37"/>
      <c r="O28" s="29"/>
      <c r="P28" s="30"/>
    </row>
    <row r="30" spans="2:19" ht="15" thickBot="1"/>
    <row r="31" spans="2:19" ht="16.2" thickBot="1">
      <c r="B31" s="287" t="s">
        <v>147</v>
      </c>
      <c r="C31" s="288"/>
      <c r="D31" s="288"/>
      <c r="E31" s="288"/>
      <c r="F31" s="288"/>
      <c r="G31" s="288"/>
      <c r="H31" s="289"/>
      <c r="J31" s="306" t="s">
        <v>148</v>
      </c>
      <c r="K31" s="307"/>
      <c r="L31" s="307"/>
      <c r="M31" s="307"/>
      <c r="N31" s="307"/>
      <c r="O31" s="307"/>
      <c r="P31" s="308"/>
      <c r="R31" s="262" t="s">
        <v>149</v>
      </c>
    </row>
    <row r="32" spans="2:19" ht="15.6">
      <c r="B32" s="16"/>
      <c r="C32" s="17"/>
      <c r="D32" s="72"/>
      <c r="E32" s="17"/>
      <c r="F32" s="17"/>
      <c r="G32" s="18"/>
      <c r="H32" s="19"/>
      <c r="J32" s="16"/>
      <c r="K32" s="17"/>
      <c r="L32" s="72"/>
      <c r="M32" s="17"/>
      <c r="N32" s="17"/>
      <c r="O32" s="18"/>
      <c r="P32" s="19"/>
      <c r="R32" s="2" t="s">
        <v>150</v>
      </c>
      <c r="S32">
        <v>50</v>
      </c>
    </row>
    <row r="33" spans="2:19" ht="15.6">
      <c r="B33" s="291"/>
      <c r="C33" s="292"/>
      <c r="D33" s="74"/>
      <c r="E33" s="21"/>
      <c r="F33" s="21"/>
      <c r="G33" s="2"/>
      <c r="H33" s="22"/>
      <c r="J33" s="291"/>
      <c r="K33" s="292"/>
      <c r="L33" s="74"/>
      <c r="M33" s="21"/>
      <c r="N33" s="21"/>
      <c r="O33" s="2"/>
      <c r="P33" s="22"/>
      <c r="R33" s="2" t="s">
        <v>151</v>
      </c>
      <c r="S33">
        <v>52.6</v>
      </c>
    </row>
    <row r="34" spans="2:19" ht="15.6">
      <c r="B34" s="46" t="s">
        <v>152</v>
      </c>
      <c r="C34" s="171">
        <v>15000</v>
      </c>
      <c r="D34" s="3"/>
      <c r="E34" s="45"/>
      <c r="F34" s="45"/>
      <c r="G34" s="2"/>
      <c r="H34" s="22"/>
      <c r="J34" s="46" t="s">
        <v>142</v>
      </c>
      <c r="K34" s="171">
        <f>J27</f>
        <v>24545.783308581864</v>
      </c>
      <c r="L34" s="3"/>
      <c r="M34" s="45"/>
      <c r="N34" s="45"/>
      <c r="O34" s="2"/>
      <c r="P34" s="22"/>
      <c r="R34" s="2" t="s">
        <v>153</v>
      </c>
      <c r="S34">
        <v>4</v>
      </c>
    </row>
    <row r="35" spans="2:19" ht="15.6">
      <c r="B35" s="41" t="s">
        <v>154</v>
      </c>
      <c r="C35" s="179">
        <f>B11</f>
        <v>5.6425740705793544E-2</v>
      </c>
      <c r="D35" s="3"/>
      <c r="E35" s="21"/>
      <c r="F35" s="21"/>
      <c r="G35" s="2"/>
      <c r="H35" s="22"/>
      <c r="J35" s="41" t="s">
        <v>155</v>
      </c>
      <c r="K35" s="180">
        <f>S38</f>
        <v>2473.6</v>
      </c>
      <c r="L35" s="3"/>
      <c r="M35" s="21"/>
      <c r="N35" s="21"/>
      <c r="O35" s="2"/>
      <c r="P35" s="22"/>
      <c r="R35" s="2" t="s">
        <v>156</v>
      </c>
      <c r="S35">
        <f>26300*9%</f>
        <v>2367</v>
      </c>
    </row>
    <row r="36" spans="2:19" ht="15.6">
      <c r="B36" s="41"/>
      <c r="C36" s="14"/>
      <c r="D36" s="3"/>
      <c r="E36" s="21"/>
      <c r="F36" s="21"/>
      <c r="G36" s="2"/>
      <c r="H36" s="22"/>
      <c r="J36" s="41" t="s">
        <v>157</v>
      </c>
      <c r="K36" s="58"/>
      <c r="L36" s="3"/>
      <c r="M36" s="21"/>
      <c r="N36" s="21"/>
      <c r="O36" s="2"/>
      <c r="P36" s="22"/>
    </row>
    <row r="37" spans="2:19" ht="15.6">
      <c r="B37" s="41"/>
      <c r="C37" s="14"/>
      <c r="D37" s="3"/>
      <c r="E37" s="21"/>
      <c r="F37" s="21"/>
      <c r="G37" s="2"/>
      <c r="H37" s="22"/>
      <c r="J37" s="41"/>
      <c r="K37" s="14"/>
      <c r="L37" s="3"/>
      <c r="M37" s="21"/>
      <c r="N37" s="21"/>
      <c r="O37" s="2"/>
      <c r="P37" s="22"/>
    </row>
    <row r="38" spans="2:19" ht="15.6">
      <c r="B38" s="23"/>
      <c r="C38" s="2"/>
      <c r="D38" s="3"/>
      <c r="E38" s="2"/>
      <c r="F38" s="2"/>
      <c r="G38" s="2"/>
      <c r="H38" s="22"/>
      <c r="J38" s="23"/>
      <c r="K38" s="2"/>
      <c r="L38" s="3"/>
      <c r="M38" s="2"/>
      <c r="N38" s="2"/>
      <c r="O38" s="2"/>
      <c r="P38" s="22"/>
      <c r="S38">
        <f>SUM(S32:S36)</f>
        <v>2473.6</v>
      </c>
    </row>
    <row r="39" spans="2:19" ht="15.6">
      <c r="B39" s="166"/>
      <c r="C39" s="2"/>
      <c r="D39" s="3"/>
      <c r="E39" s="2"/>
      <c r="F39" s="2"/>
      <c r="G39" s="2"/>
      <c r="H39" s="22"/>
      <c r="J39" s="173">
        <f>J41</f>
        <v>22072.183308581865</v>
      </c>
      <c r="K39" s="2"/>
      <c r="L39" s="3"/>
      <c r="M39" s="2"/>
      <c r="N39" s="2"/>
      <c r="O39" s="2"/>
      <c r="P39" s="22"/>
    </row>
    <row r="40" spans="2:19" ht="15.6">
      <c r="B40" s="24" t="s">
        <v>158</v>
      </c>
      <c r="C40" s="177" t="s">
        <v>152</v>
      </c>
      <c r="D40" s="3" t="s">
        <v>133</v>
      </c>
      <c r="E40" s="3"/>
      <c r="F40" s="3"/>
      <c r="G40" s="3"/>
      <c r="H40" s="22"/>
      <c r="J40" s="24" t="s">
        <v>159</v>
      </c>
      <c r="K40" s="25" t="s">
        <v>142</v>
      </c>
      <c r="L40" s="25" t="str">
        <f>J35</f>
        <v>Suma Costes Inicial</v>
      </c>
      <c r="M40" s="25" t="str">
        <f>J36</f>
        <v>Retención</v>
      </c>
      <c r="N40" s="3"/>
      <c r="O40" s="3"/>
      <c r="P40" s="22"/>
    </row>
    <row r="41" spans="2:19" ht="15.6">
      <c r="B41" s="175">
        <f>C41*D41</f>
        <v>846.3861105869031</v>
      </c>
      <c r="C41" s="141">
        <f>C34</f>
        <v>15000</v>
      </c>
      <c r="D41" s="178">
        <f>C35</f>
        <v>5.6425740705793544E-2</v>
      </c>
      <c r="E41" s="136"/>
      <c r="F41" s="164"/>
      <c r="G41" s="50"/>
      <c r="H41" s="22"/>
      <c r="J41" s="165">
        <f>K41-L41-M41</f>
        <v>22072.183308581865</v>
      </c>
      <c r="K41" s="172">
        <f>K34</f>
        <v>24545.783308581864</v>
      </c>
      <c r="L41" s="170">
        <f>K35</f>
        <v>2473.6</v>
      </c>
      <c r="M41" s="181">
        <f>K36</f>
        <v>0</v>
      </c>
      <c r="N41" s="149"/>
      <c r="O41" s="50"/>
      <c r="P41" s="22"/>
    </row>
    <row r="42" spans="2:19" ht="16.2" thickBot="1">
      <c r="B42" s="26"/>
      <c r="C42" s="37"/>
      <c r="D42" s="28"/>
      <c r="E42" s="38"/>
      <c r="F42" s="37"/>
      <c r="G42" s="29"/>
      <c r="H42" s="30"/>
      <c r="J42" s="26"/>
      <c r="K42" s="37"/>
      <c r="L42" s="28"/>
      <c r="M42" s="38"/>
      <c r="N42" s="37"/>
      <c r="O42" s="29"/>
      <c r="P42" s="30"/>
    </row>
    <row r="44" spans="2:19" ht="15" thickBot="1"/>
    <row r="45" spans="2:19" ht="16.2" thickBot="1">
      <c r="J45" s="306" t="s">
        <v>160</v>
      </c>
      <c r="K45" s="307"/>
      <c r="L45" s="307"/>
      <c r="M45" s="307"/>
      <c r="N45" s="307"/>
      <c r="O45" s="307"/>
      <c r="P45" s="308"/>
      <c r="R45" s="262" t="s">
        <v>161</v>
      </c>
      <c r="S45" s="2"/>
    </row>
    <row r="46" spans="2:19" ht="15.6">
      <c r="J46" s="16"/>
      <c r="K46" s="17"/>
      <c r="L46" s="72"/>
      <c r="M46" s="17"/>
      <c r="N46" s="17"/>
      <c r="O46" s="18"/>
      <c r="P46" s="19"/>
      <c r="R46" s="2" t="s">
        <v>162</v>
      </c>
      <c r="S46" s="2">
        <v>10</v>
      </c>
    </row>
    <row r="47" spans="2:19" ht="15.6">
      <c r="J47" s="291"/>
      <c r="K47" s="292"/>
      <c r="L47" s="74"/>
      <c r="M47" s="21"/>
      <c r="N47" s="21"/>
      <c r="O47" s="2"/>
      <c r="P47" s="22"/>
      <c r="R47" s="2" t="s">
        <v>163</v>
      </c>
      <c r="S47" s="2">
        <v>10</v>
      </c>
    </row>
    <row r="48" spans="2:19" ht="15.6">
      <c r="J48" s="46" t="s">
        <v>164</v>
      </c>
      <c r="K48" s="171">
        <v>26300</v>
      </c>
      <c r="L48" s="3"/>
      <c r="M48" s="45"/>
      <c r="N48" s="45"/>
      <c r="O48" s="2"/>
      <c r="P48" s="22"/>
      <c r="R48" s="2"/>
      <c r="S48" s="2"/>
    </row>
    <row r="49" spans="10:19" ht="15.6">
      <c r="J49" s="41" t="s">
        <v>165</v>
      </c>
      <c r="K49" s="180">
        <f>S54</f>
        <v>20</v>
      </c>
      <c r="L49" s="3"/>
      <c r="M49" s="21" t="s">
        <v>163</v>
      </c>
      <c r="N49" s="21" t="s">
        <v>166</v>
      </c>
      <c r="O49" s="2"/>
      <c r="P49" s="22"/>
      <c r="R49" s="2"/>
      <c r="S49" s="2"/>
    </row>
    <row r="50" spans="10:19" ht="15.6">
      <c r="J50" s="41" t="s">
        <v>157</v>
      </c>
      <c r="K50" s="58">
        <f>S35</f>
        <v>2367</v>
      </c>
      <c r="L50" s="3"/>
      <c r="N50" s="21"/>
      <c r="O50" s="2"/>
      <c r="P50" s="22"/>
      <c r="R50" s="2"/>
      <c r="S50" s="2"/>
    </row>
    <row r="51" spans="10:19" ht="15.6">
      <c r="J51" s="41"/>
      <c r="K51" s="14"/>
      <c r="L51" s="3"/>
      <c r="M51" s="21"/>
      <c r="N51" s="21"/>
      <c r="O51" s="2"/>
      <c r="P51" s="22"/>
      <c r="R51" s="2"/>
      <c r="S51" s="2"/>
    </row>
    <row r="52" spans="10:19" ht="15.6">
      <c r="J52" s="23"/>
      <c r="K52" s="2"/>
      <c r="L52" s="3"/>
      <c r="M52" s="2"/>
      <c r="N52" s="262" t="s">
        <v>167</v>
      </c>
      <c r="O52" s="2"/>
      <c r="P52" s="22"/>
      <c r="R52" s="2"/>
      <c r="S52" s="2"/>
    </row>
    <row r="53" spans="10:19" ht="15.6">
      <c r="J53" s="173">
        <f>J55</f>
        <v>23953</v>
      </c>
      <c r="K53" s="2"/>
      <c r="L53" s="3"/>
      <c r="M53" s="2"/>
      <c r="N53" s="2"/>
      <c r="O53" s="2"/>
      <c r="P53" s="22"/>
      <c r="R53" s="2"/>
      <c r="S53" s="2"/>
    </row>
    <row r="54" spans="10:19" ht="15.6">
      <c r="J54" s="24" t="s">
        <v>159</v>
      </c>
      <c r="K54" s="25" t="s">
        <v>152</v>
      </c>
      <c r="L54" s="25" t="str">
        <f>J49</f>
        <v>Suma Costes Finales</v>
      </c>
      <c r="M54" s="25" t="str">
        <f>J50</f>
        <v>Retención</v>
      </c>
      <c r="N54" s="3"/>
      <c r="O54" s="3"/>
      <c r="P54" s="22"/>
      <c r="R54" s="2"/>
      <c r="S54" s="2">
        <f>SUM(S46:S52)</f>
        <v>20</v>
      </c>
    </row>
    <row r="55" spans="10:19" ht="15.6">
      <c r="J55" s="165">
        <f>K55+L55-M55</f>
        <v>23953</v>
      </c>
      <c r="K55" s="172">
        <f>K48</f>
        <v>26300</v>
      </c>
      <c r="L55" s="170">
        <f>K49</f>
        <v>20</v>
      </c>
      <c r="M55" s="181">
        <f>K50</f>
        <v>2367</v>
      </c>
      <c r="N55" s="149"/>
      <c r="O55" s="50"/>
      <c r="P55" s="22"/>
      <c r="R55" s="2"/>
      <c r="S55" s="2"/>
    </row>
    <row r="56" spans="10:19" ht="16.2" thickBot="1">
      <c r="J56" s="26"/>
      <c r="K56" s="37"/>
      <c r="L56" s="28"/>
      <c r="M56" s="38"/>
      <c r="N56" s="37"/>
      <c r="O56" s="182"/>
      <c r="P56" s="30"/>
    </row>
    <row r="58" spans="10:19" ht="15" thickBot="1"/>
    <row r="59" spans="10:19" ht="16.2" thickBot="1">
      <c r="J59" s="306" t="s">
        <v>168</v>
      </c>
      <c r="K59" s="307"/>
      <c r="L59" s="307"/>
      <c r="M59" s="307"/>
      <c r="N59" s="307"/>
      <c r="O59" s="307"/>
      <c r="P59" s="308"/>
    </row>
    <row r="60" spans="10:19" ht="15.6">
      <c r="J60" s="16"/>
      <c r="K60" s="17"/>
      <c r="L60" s="72"/>
      <c r="M60" s="17"/>
      <c r="N60" s="17"/>
      <c r="O60" s="18"/>
      <c r="P60" s="19"/>
    </row>
    <row r="61" spans="10:19" ht="15.6">
      <c r="J61" s="291"/>
      <c r="K61" s="292"/>
      <c r="L61" s="74"/>
      <c r="M61" s="21"/>
      <c r="N61" s="21"/>
      <c r="O61" s="2"/>
      <c r="P61" s="22"/>
    </row>
    <row r="62" spans="10:19" ht="15.6">
      <c r="J62" s="46" t="s">
        <v>169</v>
      </c>
      <c r="K62" s="171">
        <f>J55</f>
        <v>23953</v>
      </c>
      <c r="L62" s="3"/>
      <c r="M62" s="45"/>
      <c r="N62" s="45"/>
      <c r="O62" s="2"/>
      <c r="P62" s="22"/>
    </row>
    <row r="63" spans="10:19" ht="15.6">
      <c r="J63" s="41" t="s">
        <v>170</v>
      </c>
      <c r="K63" s="180">
        <f>J41</f>
        <v>22072.183308581865</v>
      </c>
      <c r="L63" s="3"/>
      <c r="M63" s="21"/>
      <c r="N63" s="21"/>
      <c r="O63" s="2"/>
      <c r="P63" s="22"/>
    </row>
    <row r="64" spans="10:19" ht="15.6">
      <c r="J64" s="41" t="s">
        <v>171</v>
      </c>
      <c r="K64" s="58">
        <v>90</v>
      </c>
      <c r="L64" s="3"/>
      <c r="N64" s="21"/>
      <c r="O64" s="2"/>
      <c r="P64" s="22"/>
    </row>
    <row r="65" spans="10:27" ht="15.6">
      <c r="J65" s="41"/>
      <c r="K65" s="14"/>
      <c r="L65" s="3"/>
      <c r="M65" s="21"/>
      <c r="N65" s="21"/>
      <c r="O65" s="2"/>
      <c r="P65" s="22"/>
    </row>
    <row r="66" spans="10:27" ht="15.6">
      <c r="J66" s="23"/>
      <c r="K66" s="2"/>
      <c r="L66" s="3"/>
      <c r="M66" s="2"/>
      <c r="N66" s="2"/>
      <c r="O66" s="2"/>
      <c r="P66" s="22"/>
    </row>
    <row r="67" spans="10:27" ht="15.6">
      <c r="J67" s="184">
        <f>J69</f>
        <v>0.38694257789578157</v>
      </c>
      <c r="K67" s="2"/>
      <c r="L67" s="3"/>
      <c r="M67" s="2"/>
      <c r="N67" s="2"/>
      <c r="O67" s="2"/>
      <c r="P67" s="22"/>
    </row>
    <row r="68" spans="10:27" ht="15.6">
      <c r="J68" s="24" t="s">
        <v>172</v>
      </c>
      <c r="K68" s="25" t="s">
        <v>173</v>
      </c>
      <c r="L68" s="25" t="s">
        <v>174</v>
      </c>
      <c r="M68" s="25" t="s">
        <v>175</v>
      </c>
      <c r="N68" s="3" t="s">
        <v>176</v>
      </c>
      <c r="O68" s="51">
        <v>1</v>
      </c>
      <c r="P68" s="22"/>
    </row>
    <row r="69" spans="10:27" ht="15.6">
      <c r="J69" s="175">
        <f>((K69/L69)^(M69/N69))-1</f>
        <v>0.38694257789578157</v>
      </c>
      <c r="K69" s="172">
        <f>K62</f>
        <v>23953</v>
      </c>
      <c r="L69" s="170">
        <f>K63</f>
        <v>22072.183308581865</v>
      </c>
      <c r="M69" s="183">
        <v>360</v>
      </c>
      <c r="N69" s="149">
        <f>K64</f>
        <v>90</v>
      </c>
      <c r="O69" s="51">
        <v>1</v>
      </c>
      <c r="P69" s="22"/>
    </row>
    <row r="70" spans="10:27" ht="16.2" thickBot="1">
      <c r="J70" s="26"/>
      <c r="K70" s="37"/>
      <c r="L70" s="28"/>
      <c r="M70" s="38"/>
      <c r="N70" s="37"/>
      <c r="O70" s="29"/>
      <c r="P70" s="30"/>
    </row>
    <row r="72" spans="10:27">
      <c r="J72" s="312" t="s">
        <v>177</v>
      </c>
      <c r="K72" s="312"/>
      <c r="L72" s="312"/>
      <c r="M72" s="312"/>
      <c r="N72" s="312"/>
      <c r="O72" s="312"/>
      <c r="P72" s="312"/>
      <c r="Q72" s="312"/>
      <c r="R72" s="312"/>
      <c r="S72" s="312"/>
      <c r="T72" s="312"/>
      <c r="U72" s="312"/>
      <c r="V72" s="312"/>
      <c r="W72" s="312"/>
      <c r="X72" s="312"/>
    </row>
    <row r="73" spans="10:27" ht="15" thickBot="1"/>
    <row r="74" spans="10:27" ht="16.2" thickBot="1">
      <c r="J74" s="306" t="s">
        <v>178</v>
      </c>
      <c r="K74" s="307"/>
      <c r="L74" s="307"/>
      <c r="M74" s="307"/>
      <c r="N74" s="307"/>
      <c r="O74" s="307"/>
      <c r="P74" s="308"/>
      <c r="R74" s="306" t="s">
        <v>179</v>
      </c>
      <c r="S74" s="307"/>
      <c r="T74" s="307"/>
      <c r="U74" s="307"/>
      <c r="V74" s="307"/>
      <c r="W74" s="307"/>
      <c r="X74" s="308"/>
      <c r="Z74" s="262" t="s">
        <v>180</v>
      </c>
    </row>
    <row r="75" spans="10:27" ht="15.6">
      <c r="J75" s="16"/>
      <c r="K75" s="17"/>
      <c r="L75" s="72"/>
      <c r="M75" s="17"/>
      <c r="N75" s="17"/>
      <c r="O75" s="18"/>
      <c r="P75" s="19"/>
      <c r="R75" s="16"/>
      <c r="S75" s="17"/>
      <c r="T75" s="72"/>
      <c r="U75" s="17"/>
      <c r="V75" s="17"/>
      <c r="W75" s="18"/>
      <c r="X75" s="19"/>
      <c r="Z75" t="s">
        <v>181</v>
      </c>
      <c r="AA75">
        <v>10</v>
      </c>
    </row>
    <row r="76" spans="10:27" ht="15.6">
      <c r="J76" s="291"/>
      <c r="K76" s="292"/>
      <c r="L76" s="74"/>
      <c r="M76" s="21"/>
      <c r="N76" s="21"/>
      <c r="O76" s="2"/>
      <c r="P76" s="22"/>
      <c r="R76" s="291"/>
      <c r="S76" s="292"/>
      <c r="T76" s="74" t="s">
        <v>62</v>
      </c>
      <c r="U76" s="21"/>
      <c r="V76" s="21"/>
      <c r="W76" s="2"/>
      <c r="X76" s="22"/>
      <c r="Z76" t="s">
        <v>163</v>
      </c>
      <c r="AA76">
        <v>10</v>
      </c>
    </row>
    <row r="77" spans="10:27" ht="15.6">
      <c r="J77" s="46" t="s">
        <v>152</v>
      </c>
      <c r="K77" s="171"/>
      <c r="L77" s="3"/>
      <c r="M77" s="45"/>
      <c r="N77" s="45"/>
      <c r="O77" s="2"/>
      <c r="P77" s="22"/>
      <c r="R77" s="46" t="s">
        <v>152</v>
      </c>
      <c r="S77" s="171">
        <v>26300</v>
      </c>
      <c r="T77" s="3"/>
      <c r="U77" s="45"/>
      <c r="V77" s="45"/>
      <c r="W77" s="2"/>
      <c r="X77" s="22"/>
      <c r="Z77" t="s">
        <v>182</v>
      </c>
      <c r="AA77">
        <v>80</v>
      </c>
    </row>
    <row r="78" spans="10:27" ht="15.6">
      <c r="J78" s="41" t="s">
        <v>139</v>
      </c>
      <c r="K78" s="187"/>
      <c r="L78" s="3"/>
      <c r="M78" s="21"/>
      <c r="N78" s="21"/>
      <c r="O78" s="2"/>
      <c r="P78" s="22"/>
      <c r="R78" s="41" t="s">
        <v>183</v>
      </c>
      <c r="S78" s="188">
        <v>1.0660000000000001</v>
      </c>
      <c r="T78" s="3" t="s">
        <v>37</v>
      </c>
      <c r="U78" s="21"/>
      <c r="V78" s="21"/>
      <c r="W78" s="2"/>
      <c r="X78" s="22"/>
      <c r="Z78" t="s">
        <v>184</v>
      </c>
      <c r="AA78">
        <v>70</v>
      </c>
    </row>
    <row r="79" spans="10:27" ht="15.6">
      <c r="J79" s="41" t="s">
        <v>185</v>
      </c>
      <c r="K79" s="127"/>
      <c r="L79" s="3"/>
      <c r="N79" s="21"/>
      <c r="O79" s="2"/>
      <c r="P79" s="22"/>
      <c r="R79" s="41" t="s">
        <v>49</v>
      </c>
      <c r="S79" s="58">
        <v>12</v>
      </c>
      <c r="T79" s="3"/>
      <c r="V79" s="21"/>
      <c r="W79" s="2"/>
      <c r="X79" s="22"/>
    </row>
    <row r="80" spans="10:27" ht="15.6">
      <c r="J80" s="41" t="s">
        <v>140</v>
      </c>
      <c r="K80" s="14"/>
      <c r="L80" s="3"/>
      <c r="M80" s="21"/>
      <c r="N80" s="21"/>
      <c r="O80" s="2"/>
      <c r="P80" s="22"/>
      <c r="R80" s="41" t="s">
        <v>186</v>
      </c>
      <c r="S80" s="14">
        <f>6/30</f>
        <v>0.2</v>
      </c>
      <c r="T80" s="3"/>
      <c r="U80" s="21"/>
      <c r="V80" s="21" t="s">
        <v>187</v>
      </c>
      <c r="W80" s="2"/>
      <c r="X80" s="22"/>
    </row>
    <row r="81" spans="10:35" ht="15.6">
      <c r="J81" s="23"/>
      <c r="K81" s="2"/>
      <c r="L81" s="3"/>
      <c r="M81" s="2"/>
      <c r="N81" s="2"/>
      <c r="O81" s="2"/>
      <c r="P81" s="22"/>
      <c r="R81" s="23"/>
      <c r="S81" s="2"/>
      <c r="T81" s="3"/>
      <c r="U81" s="2"/>
      <c r="V81" s="2"/>
      <c r="W81" s="2"/>
      <c r="X81" s="22"/>
    </row>
    <row r="82" spans="10:35" ht="15.6">
      <c r="J82" s="184"/>
      <c r="K82" s="2"/>
      <c r="L82" s="3"/>
      <c r="M82" s="2"/>
      <c r="N82" s="2"/>
      <c r="O82" s="2"/>
      <c r="P82" s="22"/>
      <c r="R82" s="184"/>
      <c r="S82" s="2"/>
      <c r="T82" s="3"/>
      <c r="U82" s="2"/>
      <c r="V82" s="2"/>
      <c r="W82" s="2"/>
      <c r="X82" s="22"/>
      <c r="AA82">
        <f>SUM(AA75:AA81)</f>
        <v>170</v>
      </c>
    </row>
    <row r="83" spans="10:35" ht="15.6">
      <c r="J83" s="24" t="s">
        <v>188</v>
      </c>
      <c r="K83" s="25" t="str">
        <f>J77</f>
        <v>Valor nominal</v>
      </c>
      <c r="L83" s="25" t="s">
        <v>189</v>
      </c>
      <c r="M83" s="25" t="s">
        <v>88</v>
      </c>
      <c r="N83" s="3" t="s">
        <v>190</v>
      </c>
      <c r="O83" s="51" t="s">
        <v>104</v>
      </c>
      <c r="P83" s="22" t="s">
        <v>191</v>
      </c>
      <c r="R83" s="24" t="s">
        <v>188</v>
      </c>
      <c r="S83" s="3" t="str">
        <f>R77</f>
        <v>Valor nominal</v>
      </c>
      <c r="T83" s="3" t="s">
        <v>189</v>
      </c>
      <c r="U83" s="3" t="s">
        <v>52</v>
      </c>
      <c r="V83" s="3" t="s">
        <v>59</v>
      </c>
      <c r="W83" s="186" t="s">
        <v>54</v>
      </c>
      <c r="X83" s="22" t="s">
        <v>191</v>
      </c>
    </row>
    <row r="84" spans="10:35" ht="15.6">
      <c r="J84" s="175" t="e">
        <f>K84*(((L84+M84)^(N84/O84))-1)</f>
        <v>#DIV/0!</v>
      </c>
      <c r="K84" s="172">
        <f>K77</f>
        <v>0</v>
      </c>
      <c r="L84" s="132">
        <v>1</v>
      </c>
      <c r="M84" s="185">
        <f>K78</f>
        <v>0</v>
      </c>
      <c r="N84" s="149">
        <f>K79</f>
        <v>0</v>
      </c>
      <c r="O84" s="51">
        <f>K80</f>
        <v>0</v>
      </c>
      <c r="P84" s="22">
        <v>1</v>
      </c>
      <c r="R84" s="175">
        <f>S84*(((T84+(U84/V84))^W84)-X84)</f>
        <v>451.49331141935062</v>
      </c>
      <c r="S84" s="172">
        <f>S77</f>
        <v>26300</v>
      </c>
      <c r="T84" s="170">
        <v>1</v>
      </c>
      <c r="U84" s="181">
        <f>S78</f>
        <v>1.0660000000000001</v>
      </c>
      <c r="V84" s="149">
        <f>S79</f>
        <v>12</v>
      </c>
      <c r="W84" s="51">
        <f>S80</f>
        <v>0.2</v>
      </c>
      <c r="X84" s="22">
        <v>1</v>
      </c>
    </row>
    <row r="85" spans="10:35" ht="16.2" thickBot="1">
      <c r="J85" s="26"/>
      <c r="K85" s="37"/>
      <c r="L85" s="28"/>
      <c r="M85" s="38"/>
      <c r="N85" s="37"/>
      <c r="O85" s="29"/>
      <c r="P85" s="30"/>
      <c r="R85" s="26"/>
      <c r="S85" s="37"/>
      <c r="T85" s="28"/>
      <c r="U85" s="38"/>
      <c r="V85" s="37"/>
      <c r="W85" s="29"/>
      <c r="X85" s="30"/>
    </row>
    <row r="87" spans="10:35">
      <c r="J87" s="313" t="s">
        <v>192</v>
      </c>
      <c r="K87" s="313"/>
      <c r="L87" s="313"/>
      <c r="M87" s="313"/>
      <c r="N87" s="313"/>
      <c r="O87" s="313"/>
      <c r="P87" s="313"/>
      <c r="Q87" s="313"/>
      <c r="R87" s="313"/>
      <c r="S87" s="313"/>
      <c r="T87" s="313"/>
      <c r="U87" s="313"/>
      <c r="V87" s="313"/>
      <c r="W87" s="313"/>
      <c r="X87" s="313"/>
    </row>
    <row r="88" spans="10:35" ht="15" thickBot="1"/>
    <row r="89" spans="10:35" ht="16.2" thickBot="1">
      <c r="J89" s="306" t="s">
        <v>193</v>
      </c>
      <c r="K89" s="307"/>
      <c r="L89" s="307"/>
      <c r="M89" s="307"/>
      <c r="N89" s="307"/>
      <c r="O89" s="307"/>
      <c r="P89" s="308"/>
      <c r="R89" s="306" t="s">
        <v>194</v>
      </c>
      <c r="S89" s="307"/>
      <c r="T89" s="307"/>
      <c r="U89" s="307"/>
      <c r="V89" s="307"/>
      <c r="W89" s="307"/>
      <c r="X89" s="308"/>
    </row>
    <row r="90" spans="10:35" ht="15.6">
      <c r="J90" s="16"/>
      <c r="K90" s="17"/>
      <c r="L90" s="72"/>
      <c r="M90" s="17"/>
      <c r="N90" s="17"/>
      <c r="O90" s="18"/>
      <c r="P90" s="19"/>
      <c r="R90" s="16"/>
      <c r="S90" s="17"/>
      <c r="T90" s="72"/>
      <c r="U90" s="17"/>
      <c r="V90" s="17"/>
      <c r="W90" s="18"/>
      <c r="X90" s="19"/>
    </row>
    <row r="91" spans="10:35" ht="15.6">
      <c r="J91" s="291"/>
      <c r="K91" s="292"/>
      <c r="L91" s="74"/>
      <c r="M91" s="21"/>
      <c r="N91" s="21"/>
      <c r="O91" s="2"/>
      <c r="P91" s="22"/>
      <c r="R91" s="291"/>
      <c r="S91" s="292"/>
      <c r="T91" s="74"/>
      <c r="U91" s="21"/>
      <c r="V91" s="21"/>
      <c r="W91" s="2"/>
      <c r="X91" s="22"/>
    </row>
    <row r="92" spans="10:35" ht="15.6">
      <c r="J92" s="46" t="s">
        <v>152</v>
      </c>
      <c r="K92" s="171">
        <v>26300</v>
      </c>
      <c r="L92" s="3"/>
      <c r="M92" s="45"/>
      <c r="N92" s="45"/>
      <c r="O92" s="2"/>
      <c r="P92" s="22"/>
      <c r="R92" s="46" t="s">
        <v>152</v>
      </c>
      <c r="S92" s="202">
        <v>26300</v>
      </c>
      <c r="T92" s="3"/>
      <c r="U92" s="45"/>
      <c r="V92" s="45"/>
      <c r="W92" s="2"/>
      <c r="X92" s="22"/>
    </row>
    <row r="93" spans="10:35" ht="15.6">
      <c r="J93" s="41" t="s">
        <v>195</v>
      </c>
      <c r="K93" s="193">
        <v>1.0660000000000001</v>
      </c>
      <c r="L93" s="3"/>
      <c r="M93" s="21"/>
      <c r="N93" s="21"/>
      <c r="O93" s="2"/>
      <c r="P93" s="22"/>
      <c r="R93" s="41" t="s">
        <v>196</v>
      </c>
      <c r="S93" s="187"/>
      <c r="T93" s="3"/>
      <c r="U93" s="21"/>
      <c r="V93" s="21"/>
      <c r="W93" s="2"/>
      <c r="X93" s="22"/>
    </row>
    <row r="94" spans="10:35" ht="15.6">
      <c r="J94" s="41" t="s">
        <v>197</v>
      </c>
      <c r="K94" s="14">
        <v>360</v>
      </c>
      <c r="L94" s="3"/>
      <c r="N94" s="21"/>
      <c r="O94" s="2"/>
      <c r="P94" s="22"/>
      <c r="R94" s="41" t="s">
        <v>49</v>
      </c>
      <c r="S94" s="58"/>
      <c r="T94" s="3"/>
      <c r="V94" s="21"/>
      <c r="W94" s="2"/>
      <c r="X94" s="22"/>
    </row>
    <row r="95" spans="10:35" ht="15.6">
      <c r="J95" s="41" t="s">
        <v>198</v>
      </c>
      <c r="K95" s="127">
        <v>6</v>
      </c>
      <c r="N95" s="21"/>
      <c r="O95" s="2"/>
      <c r="P95" s="22"/>
      <c r="R95" s="41" t="s">
        <v>186</v>
      </c>
      <c r="S95" s="14"/>
      <c r="T95" s="3"/>
      <c r="U95" s="21"/>
      <c r="V95" s="21"/>
      <c r="W95" s="2"/>
      <c r="X95" s="22"/>
      <c r="AB95" s="1"/>
      <c r="AC95" s="1"/>
      <c r="AG95" s="1"/>
      <c r="AI95" t="s">
        <v>199</v>
      </c>
    </row>
    <row r="96" spans="10:35" ht="15.6">
      <c r="J96" s="23"/>
      <c r="K96" s="2"/>
      <c r="L96" s="3"/>
      <c r="M96" s="2"/>
      <c r="N96" s="2"/>
      <c r="O96" s="2"/>
      <c r="P96" s="22"/>
      <c r="R96" s="23"/>
      <c r="S96" s="2"/>
      <c r="T96" s="3"/>
      <c r="U96" s="2"/>
      <c r="V96" s="2"/>
      <c r="W96" s="2"/>
      <c r="X96" s="22"/>
      <c r="AB96" s="194"/>
      <c r="AD96" s="194"/>
      <c r="AG96" s="194"/>
      <c r="AI96" s="194">
        <v>44545</v>
      </c>
    </row>
    <row r="97" spans="10:24" ht="15.6">
      <c r="J97" s="184"/>
      <c r="K97" s="2"/>
      <c r="L97" s="3"/>
      <c r="M97" s="2"/>
      <c r="N97" s="2"/>
      <c r="O97" s="2"/>
      <c r="P97" s="22"/>
      <c r="R97" s="184"/>
      <c r="S97" s="2"/>
      <c r="T97" s="3"/>
      <c r="U97" s="2"/>
      <c r="V97" s="2"/>
      <c r="W97" s="2"/>
      <c r="X97" s="22"/>
    </row>
    <row r="98" spans="10:24" ht="15.6">
      <c r="J98" s="24" t="s">
        <v>200</v>
      </c>
      <c r="K98" s="25" t="str">
        <f>J92</f>
        <v>Valor nominal</v>
      </c>
      <c r="L98" s="25" t="s">
        <v>189</v>
      </c>
      <c r="M98" s="25" t="s">
        <v>88</v>
      </c>
      <c r="N98" s="3" t="s">
        <v>201</v>
      </c>
      <c r="O98" s="51" t="s">
        <v>104</v>
      </c>
      <c r="P98" s="22" t="s">
        <v>191</v>
      </c>
      <c r="R98" s="24" t="s">
        <v>200</v>
      </c>
      <c r="S98" s="3" t="str">
        <f>R92</f>
        <v>Valor nominal</v>
      </c>
      <c r="T98" s="3" t="s">
        <v>189</v>
      </c>
      <c r="U98" s="3" t="s">
        <v>202</v>
      </c>
      <c r="V98" s="3" t="s">
        <v>59</v>
      </c>
      <c r="W98" s="186" t="s">
        <v>203</v>
      </c>
      <c r="X98" s="22" t="s">
        <v>191</v>
      </c>
    </row>
    <row r="99" spans="10:24" ht="15.6">
      <c r="J99" s="175">
        <f>(K99*(((L99+M99)^(N99/O99))-P99))</f>
        <v>319.99198902394284</v>
      </c>
      <c r="K99" s="172">
        <f>K92</f>
        <v>26300</v>
      </c>
      <c r="L99" s="132">
        <v>1</v>
      </c>
      <c r="M99" s="185">
        <f>K93</f>
        <v>1.0660000000000001</v>
      </c>
      <c r="N99" s="149">
        <f>K95</f>
        <v>6</v>
      </c>
      <c r="O99" s="51">
        <f>K94</f>
        <v>360</v>
      </c>
      <c r="P99" s="22">
        <v>1</v>
      </c>
      <c r="R99" s="175" t="e">
        <f>S99*(((T99+(U99/V99))^W99)-X99)</f>
        <v>#DIV/0!</v>
      </c>
      <c r="S99" s="189">
        <f>S92</f>
        <v>26300</v>
      </c>
      <c r="T99" s="150">
        <v>1</v>
      </c>
      <c r="U99" s="197">
        <f>S93</f>
        <v>0</v>
      </c>
      <c r="V99" s="149">
        <f>S94</f>
        <v>0</v>
      </c>
      <c r="W99" s="51">
        <f>S95</f>
        <v>0</v>
      </c>
      <c r="X99" s="22">
        <v>1</v>
      </c>
    </row>
    <row r="100" spans="10:24" ht="16.2" thickBot="1">
      <c r="J100" s="26"/>
      <c r="K100" s="37"/>
      <c r="L100" s="28"/>
      <c r="M100" s="38"/>
      <c r="N100" s="37"/>
      <c r="O100" s="29"/>
      <c r="P100" s="30"/>
      <c r="R100" s="198"/>
      <c r="S100" s="199"/>
      <c r="T100" s="199"/>
      <c r="U100" s="199"/>
      <c r="V100" s="199"/>
      <c r="W100" s="199"/>
      <c r="X100" s="200"/>
    </row>
    <row r="102" spans="10:24" ht="15" thickBot="1"/>
    <row r="103" spans="10:24" ht="16.2" thickBot="1">
      <c r="J103" s="306" t="s">
        <v>204</v>
      </c>
      <c r="K103" s="307"/>
      <c r="L103" s="307"/>
      <c r="M103" s="307"/>
      <c r="N103" s="307"/>
      <c r="O103" s="307"/>
      <c r="P103" s="308"/>
      <c r="R103" s="314"/>
      <c r="S103" s="314"/>
      <c r="T103" s="314"/>
      <c r="U103" s="314"/>
      <c r="V103" s="314"/>
      <c r="W103" s="314"/>
      <c r="X103" s="314"/>
    </row>
    <row r="104" spans="10:24" ht="15.6">
      <c r="J104" s="16"/>
      <c r="K104" s="17"/>
      <c r="L104" s="72"/>
      <c r="M104" s="17"/>
      <c r="N104" s="17"/>
      <c r="O104" s="18"/>
      <c r="P104" s="19"/>
      <c r="R104" s="21"/>
      <c r="S104" s="21"/>
      <c r="T104" s="3"/>
      <c r="U104" s="21"/>
      <c r="V104" s="21"/>
      <c r="W104" s="2"/>
      <c r="X104" s="2"/>
    </row>
    <row r="105" spans="10:24" ht="15.6">
      <c r="J105" s="291"/>
      <c r="K105" s="292"/>
      <c r="L105" s="74"/>
      <c r="M105" s="21"/>
      <c r="N105" s="21"/>
      <c r="O105" s="2"/>
      <c r="P105" s="22"/>
      <c r="R105" s="315"/>
      <c r="S105" s="315"/>
      <c r="T105" s="48"/>
      <c r="U105" s="21"/>
      <c r="V105" s="21"/>
      <c r="W105" s="2"/>
      <c r="X105" s="2"/>
    </row>
    <row r="106" spans="10:24" ht="15.6">
      <c r="J106" s="46" t="s">
        <v>152</v>
      </c>
      <c r="K106" s="171">
        <v>26300</v>
      </c>
      <c r="L106" s="3"/>
      <c r="M106" s="45"/>
      <c r="N106" s="45"/>
      <c r="O106" s="2"/>
      <c r="P106" s="22"/>
      <c r="R106" s="3"/>
      <c r="S106" s="269"/>
      <c r="T106" s="3"/>
      <c r="U106" s="45"/>
      <c r="V106" s="45"/>
      <c r="W106" s="2"/>
      <c r="X106" s="2"/>
    </row>
    <row r="107" spans="10:24" ht="15.6">
      <c r="J107" s="41" t="s">
        <v>205</v>
      </c>
      <c r="K107" s="192">
        <f>AA82</f>
        <v>170</v>
      </c>
      <c r="L107" s="3"/>
      <c r="M107" s="21" t="s">
        <v>163</v>
      </c>
      <c r="N107" s="21" t="s">
        <v>166</v>
      </c>
      <c r="O107" s="2"/>
      <c r="P107" s="22"/>
      <c r="R107" s="3"/>
      <c r="S107" s="267"/>
      <c r="T107" s="3"/>
      <c r="U107" s="21"/>
      <c r="V107" s="21"/>
      <c r="W107" s="2"/>
      <c r="X107" s="2"/>
    </row>
    <row r="108" spans="10:24" ht="15.6">
      <c r="J108" s="41" t="s">
        <v>206</v>
      </c>
      <c r="K108" s="65">
        <f>R84</f>
        <v>451.49331141935062</v>
      </c>
      <c r="L108" s="3"/>
      <c r="N108" s="21"/>
      <c r="O108" s="2"/>
      <c r="P108" s="22"/>
      <c r="R108" s="3"/>
      <c r="S108" s="60"/>
      <c r="T108" s="3"/>
      <c r="V108" s="21"/>
      <c r="W108" s="2"/>
      <c r="X108" s="2"/>
    </row>
    <row r="109" spans="10:24" ht="15.6">
      <c r="J109" s="41" t="s">
        <v>207</v>
      </c>
      <c r="K109" s="65">
        <f>J99</f>
        <v>319.99198902394284</v>
      </c>
      <c r="L109" s="3"/>
      <c r="M109" s="21"/>
      <c r="N109" s="21"/>
      <c r="O109" s="2"/>
      <c r="P109" s="22"/>
      <c r="R109" s="3"/>
      <c r="S109" s="21"/>
      <c r="T109" s="3"/>
      <c r="U109" s="21"/>
      <c r="V109" s="21"/>
      <c r="W109" s="2"/>
      <c r="X109" s="2"/>
    </row>
    <row r="110" spans="10:24" ht="15.6">
      <c r="J110" s="44" t="s">
        <v>156</v>
      </c>
      <c r="K110" s="65">
        <f>S35</f>
        <v>2367</v>
      </c>
      <c r="L110" s="3"/>
      <c r="M110" s="2"/>
      <c r="N110" s="2"/>
      <c r="O110" s="2"/>
      <c r="P110" s="22"/>
      <c r="R110" s="2"/>
      <c r="S110" s="2"/>
      <c r="T110" s="3"/>
      <c r="U110" s="2"/>
      <c r="V110" s="2"/>
      <c r="W110" s="2"/>
      <c r="X110" s="2"/>
    </row>
    <row r="111" spans="10:24" ht="15.6">
      <c r="J111" s="191"/>
      <c r="K111" s="65"/>
      <c r="L111" s="3"/>
      <c r="M111" s="2"/>
      <c r="N111" s="2"/>
      <c r="O111" s="2"/>
      <c r="P111" s="22"/>
      <c r="R111" s="270"/>
      <c r="S111" s="2"/>
      <c r="T111" s="3"/>
      <c r="U111" s="2"/>
      <c r="V111" s="2"/>
      <c r="W111" s="2"/>
      <c r="X111" s="2"/>
    </row>
    <row r="112" spans="10:24" ht="15.6">
      <c r="J112" s="24"/>
      <c r="K112" s="25"/>
      <c r="L112" s="25"/>
      <c r="M112" s="25"/>
      <c r="N112" s="3"/>
      <c r="O112" s="51"/>
      <c r="P112" s="22"/>
      <c r="R112" s="25"/>
      <c r="S112" s="3"/>
      <c r="T112" s="3"/>
      <c r="U112" s="3"/>
      <c r="V112" s="3"/>
      <c r="W112" s="186"/>
      <c r="X112" s="2"/>
    </row>
    <row r="113" spans="10:24" ht="15.6">
      <c r="J113" s="175" t="s">
        <v>208</v>
      </c>
      <c r="K113" s="189" t="str">
        <f>J106</f>
        <v>Valor nominal</v>
      </c>
      <c r="L113" s="135" t="str">
        <f>J107</f>
        <v>Suma de costes finales</v>
      </c>
      <c r="M113" s="190" t="str">
        <f>J108</f>
        <v>Icomp</v>
      </c>
      <c r="N113" s="149" t="str">
        <f>J109</f>
        <v>Imora</v>
      </c>
      <c r="O113" s="51" t="str">
        <f>J110</f>
        <v>retención</v>
      </c>
      <c r="P113" s="263"/>
      <c r="R113" s="268"/>
      <c r="S113" s="271"/>
      <c r="T113" s="272"/>
      <c r="U113" s="273"/>
      <c r="V113" s="149"/>
      <c r="W113" s="51"/>
      <c r="X113" s="2"/>
    </row>
    <row r="114" spans="10:24" ht="15.6">
      <c r="J114" s="175">
        <f>K114+L114+M114+N114-O114</f>
        <v>24874.485300443295</v>
      </c>
      <c r="K114" s="189">
        <f>K106</f>
        <v>26300</v>
      </c>
      <c r="L114" s="135">
        <f>K107</f>
        <v>170</v>
      </c>
      <c r="M114" s="266">
        <f>K108</f>
        <v>451.49331141935062</v>
      </c>
      <c r="N114" s="149">
        <f>K109</f>
        <v>319.99198902394284</v>
      </c>
      <c r="O114" s="264">
        <f>K110</f>
        <v>2367</v>
      </c>
      <c r="P114" s="265"/>
    </row>
    <row r="115" spans="10:24" ht="15.6">
      <c r="J115" s="175"/>
      <c r="K115" s="189"/>
      <c r="L115" s="135"/>
      <c r="M115" s="190"/>
      <c r="N115" s="149"/>
      <c r="O115" s="51"/>
      <c r="P115" s="22"/>
    </row>
    <row r="116" spans="10:24" ht="16.2" thickBot="1">
      <c r="J116" s="26"/>
      <c r="K116" s="37"/>
      <c r="L116" s="28"/>
      <c r="M116" s="38"/>
      <c r="N116" s="37"/>
      <c r="O116" s="29"/>
      <c r="P116" s="30"/>
    </row>
    <row r="118" spans="10:24" ht="15" thickBot="1"/>
    <row r="119" spans="10:24" ht="16.2" thickBot="1">
      <c r="J119" s="306" t="s">
        <v>209</v>
      </c>
      <c r="K119" s="307"/>
      <c r="L119" s="307"/>
      <c r="M119" s="307"/>
      <c r="N119" s="307"/>
      <c r="O119" s="307"/>
      <c r="P119" s="308"/>
    </row>
    <row r="120" spans="10:24" ht="15.6">
      <c r="J120" s="16"/>
      <c r="K120" s="17"/>
      <c r="L120" s="72"/>
      <c r="M120" s="17"/>
      <c r="N120" s="17"/>
      <c r="O120" s="18"/>
      <c r="P120" s="19"/>
    </row>
    <row r="121" spans="10:24" ht="15.6">
      <c r="J121" s="291"/>
      <c r="K121" s="292"/>
      <c r="L121" s="74"/>
      <c r="M121" s="21"/>
      <c r="N121" s="21"/>
      <c r="O121" s="2"/>
      <c r="P121" s="22"/>
    </row>
    <row r="122" spans="10:24" ht="15.6">
      <c r="J122" s="46" t="s">
        <v>210</v>
      </c>
      <c r="K122" s="171">
        <f>J114</f>
        <v>24874.485300443295</v>
      </c>
      <c r="L122" s="3"/>
      <c r="M122" s="45"/>
      <c r="N122" s="45"/>
      <c r="O122" s="2"/>
      <c r="P122" s="22"/>
    </row>
    <row r="123" spans="10:24" ht="15.6">
      <c r="J123" s="41" t="s">
        <v>170</v>
      </c>
      <c r="K123" s="180">
        <f>J41</f>
        <v>22072.183308581865</v>
      </c>
      <c r="L123" s="3"/>
      <c r="M123" s="21"/>
      <c r="N123" s="21"/>
      <c r="O123" s="2"/>
      <c r="P123" s="22"/>
    </row>
    <row r="124" spans="10:24" ht="15.6">
      <c r="J124" s="41" t="s">
        <v>171</v>
      </c>
      <c r="K124" s="58">
        <v>90</v>
      </c>
      <c r="L124" s="3"/>
      <c r="N124" s="21"/>
      <c r="O124" s="2"/>
      <c r="P124" s="22"/>
    </row>
    <row r="125" spans="10:24" ht="15.6">
      <c r="J125" s="41" t="s">
        <v>211</v>
      </c>
      <c r="K125" s="14">
        <v>6</v>
      </c>
      <c r="L125" s="3"/>
      <c r="M125" s="21"/>
      <c r="N125" s="21"/>
      <c r="O125" s="2"/>
      <c r="P125" s="22"/>
    </row>
    <row r="126" spans="10:24" ht="15.6">
      <c r="J126" s="23"/>
      <c r="K126" s="2"/>
      <c r="L126" s="3"/>
      <c r="M126" s="2"/>
      <c r="N126" s="2"/>
      <c r="O126" s="2"/>
      <c r="P126" s="22"/>
    </row>
    <row r="127" spans="10:24" ht="15.6">
      <c r="J127" s="184">
        <f>J129</f>
        <v>0.56551788402168546</v>
      </c>
      <c r="K127" s="2"/>
      <c r="L127" s="3"/>
      <c r="M127" s="2"/>
      <c r="N127" s="2"/>
      <c r="O127" s="2"/>
      <c r="P127" s="22"/>
    </row>
    <row r="128" spans="10:24" ht="15.6">
      <c r="J128" s="24" t="s">
        <v>172</v>
      </c>
      <c r="K128" s="25" t="s">
        <v>212</v>
      </c>
      <c r="L128" s="25" t="s">
        <v>213</v>
      </c>
      <c r="M128" s="25" t="s">
        <v>175</v>
      </c>
      <c r="N128" s="3" t="s">
        <v>201</v>
      </c>
      <c r="O128" s="186" t="s">
        <v>214</v>
      </c>
      <c r="P128" s="22">
        <v>1</v>
      </c>
    </row>
    <row r="129" spans="10:16" ht="15.6">
      <c r="J129" s="175">
        <f>((K129/L129)^(M129/(N129+O129))-P129)</f>
        <v>0.56551788402168546</v>
      </c>
      <c r="K129" s="172">
        <f>K122</f>
        <v>24874.485300443295</v>
      </c>
      <c r="L129" s="170">
        <f>K123</f>
        <v>22072.183308581865</v>
      </c>
      <c r="M129" s="183">
        <v>360</v>
      </c>
      <c r="N129" s="149">
        <f>K124</f>
        <v>90</v>
      </c>
      <c r="O129" s="51">
        <f>K125</f>
        <v>6</v>
      </c>
      <c r="P129" s="22">
        <v>1</v>
      </c>
    </row>
    <row r="130" spans="10:16" ht="16.2" thickBot="1">
      <c r="J130" s="26"/>
      <c r="K130" s="37"/>
      <c r="L130" s="28"/>
      <c r="M130" s="38"/>
      <c r="N130" s="37"/>
      <c r="O130" s="29"/>
      <c r="P130" s="30"/>
    </row>
    <row r="148" spans="18:18">
      <c r="R148" s="274"/>
    </row>
    <row r="149" spans="18:18">
      <c r="R149" s="274"/>
    </row>
    <row r="150" spans="18:18">
      <c r="R150" s="274"/>
    </row>
    <row r="151" spans="18:18">
      <c r="R151" s="274"/>
    </row>
    <row r="152" spans="18:18">
      <c r="R152" s="274"/>
    </row>
    <row r="153" spans="18:18">
      <c r="R153" s="274"/>
    </row>
  </sheetData>
  <mergeCells count="32">
    <mergeCell ref="J119:P119"/>
    <mergeCell ref="J121:K121"/>
    <mergeCell ref="J103:P103"/>
    <mergeCell ref="J105:K105"/>
    <mergeCell ref="J87:X87"/>
    <mergeCell ref="J89:P89"/>
    <mergeCell ref="R89:X89"/>
    <mergeCell ref="J91:K91"/>
    <mergeCell ref="R91:S91"/>
    <mergeCell ref="R103:X103"/>
    <mergeCell ref="R105:S105"/>
    <mergeCell ref="J74:P74"/>
    <mergeCell ref="J76:K76"/>
    <mergeCell ref="R74:X74"/>
    <mergeCell ref="R76:S76"/>
    <mergeCell ref="J72:X72"/>
    <mergeCell ref="J59:P59"/>
    <mergeCell ref="J61:K61"/>
    <mergeCell ref="J3:P3"/>
    <mergeCell ref="J5:K5"/>
    <mergeCell ref="B17:H17"/>
    <mergeCell ref="B19:C19"/>
    <mergeCell ref="J17:P17"/>
    <mergeCell ref="J19:K19"/>
    <mergeCell ref="B3:H3"/>
    <mergeCell ref="B5:C5"/>
    <mergeCell ref="J47:K47"/>
    <mergeCell ref="B31:H31"/>
    <mergeCell ref="B33:C33"/>
    <mergeCell ref="J31:P31"/>
    <mergeCell ref="J33:K33"/>
    <mergeCell ref="J45:P4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04C5A-E7B0-4EFF-90BA-0E1976D9B32E}">
  <dimension ref="B2:Q42"/>
  <sheetViews>
    <sheetView zoomScale="70" zoomScaleNormal="70" workbookViewId="0">
      <selection activeCell="M43" sqref="M43"/>
    </sheetView>
  </sheetViews>
  <sheetFormatPr baseColWidth="10" defaultColWidth="11.44140625" defaultRowHeight="14.4"/>
  <cols>
    <col min="2" max="2" width="25" style="1" customWidth="1"/>
    <col min="3" max="3" width="25" style="225" customWidth="1"/>
    <col min="4" max="4" width="30.33203125" style="235" customWidth="1"/>
    <col min="5" max="5" width="15.109375" style="225" bestFit="1" customWidth="1"/>
    <col min="6" max="6" width="25" style="1" customWidth="1"/>
    <col min="7" max="7" width="17.109375" style="1" bestFit="1" customWidth="1"/>
    <col min="8" max="8" width="17.109375" style="1" customWidth="1"/>
    <col min="9" max="9" width="15.33203125" style="1" customWidth="1"/>
    <col min="10" max="10" width="25" style="1" customWidth="1"/>
    <col min="11" max="12" width="25" customWidth="1"/>
    <col min="13" max="13" width="30.33203125" customWidth="1"/>
    <col min="14" max="14" width="15.109375" bestFit="1" customWidth="1"/>
    <col min="15" max="15" width="25" customWidth="1"/>
    <col min="16" max="16" width="17.109375" bestFit="1" customWidth="1"/>
    <col min="17" max="17" width="15.33203125" customWidth="1"/>
  </cols>
  <sheetData>
    <row r="2" spans="2:11" ht="16.2" thickBot="1">
      <c r="B2" s="3"/>
      <c r="C2" s="226"/>
      <c r="D2" s="236"/>
      <c r="E2" s="226"/>
      <c r="F2" s="3"/>
      <c r="G2" s="3"/>
      <c r="H2" s="3"/>
      <c r="I2" s="3"/>
      <c r="J2" s="3"/>
    </row>
    <row r="3" spans="2:11" ht="15.6" customHeight="1" thickBot="1">
      <c r="B3" s="223" t="s">
        <v>258</v>
      </c>
      <c r="C3" s="227" t="s">
        <v>259</v>
      </c>
      <c r="D3" s="237"/>
      <c r="E3" s="227" t="s">
        <v>260</v>
      </c>
      <c r="F3" s="223" t="s">
        <v>261</v>
      </c>
      <c r="G3" s="223" t="s">
        <v>262</v>
      </c>
      <c r="H3" s="223"/>
      <c r="I3" s="223" t="s">
        <v>263</v>
      </c>
      <c r="J3" s="223" t="s">
        <v>264</v>
      </c>
    </row>
    <row r="4" spans="2:11" ht="15.6" customHeight="1" thickBot="1">
      <c r="B4" s="222">
        <v>0</v>
      </c>
      <c r="C4" s="224"/>
      <c r="D4" s="238">
        <f t="shared" ref="D4:D10" si="0">C4</f>
        <v>0</v>
      </c>
      <c r="E4" s="239" t="s">
        <v>265</v>
      </c>
      <c r="F4" s="243">
        <v>0</v>
      </c>
      <c r="G4" s="217">
        <v>0</v>
      </c>
      <c r="H4" s="217">
        <f>G4</f>
        <v>0</v>
      </c>
      <c r="I4" s="217">
        <v>3130</v>
      </c>
      <c r="J4" s="217">
        <f>I4</f>
        <v>3130</v>
      </c>
    </row>
    <row r="5" spans="2:11" ht="15.6" customHeight="1" thickBot="1">
      <c r="B5" s="222">
        <v>1</v>
      </c>
      <c r="C5" s="224"/>
      <c r="D5" s="238">
        <f t="shared" si="0"/>
        <v>0</v>
      </c>
      <c r="E5" s="224"/>
      <c r="F5" s="245">
        <v>0.03</v>
      </c>
      <c r="G5" s="217">
        <v>100</v>
      </c>
      <c r="H5" s="217">
        <f>G5+H4</f>
        <v>100</v>
      </c>
      <c r="I5" s="256">
        <v>-1000</v>
      </c>
      <c r="J5" s="253">
        <f>K5+I5</f>
        <v>2181.8238221109705</v>
      </c>
      <c r="K5" s="259">
        <v>3181.8238221109705</v>
      </c>
    </row>
    <row r="6" spans="2:11" ht="15.6" customHeight="1" thickBot="1">
      <c r="B6" s="222">
        <v>2</v>
      </c>
      <c r="C6" s="224"/>
      <c r="D6" s="238">
        <f t="shared" si="0"/>
        <v>0</v>
      </c>
      <c r="E6" s="224"/>
      <c r="F6" s="243"/>
      <c r="G6" s="217">
        <v>30</v>
      </c>
      <c r="H6" s="217">
        <f t="shared" ref="H6:H9" si="1">G6+H5</f>
        <v>130</v>
      </c>
      <c r="I6" s="217">
        <v>500</v>
      </c>
      <c r="J6" s="253">
        <f>K6+I6</f>
        <v>2692.5990253070381</v>
      </c>
      <c r="K6" s="259">
        <v>2192.5990253070381</v>
      </c>
    </row>
    <row r="7" spans="2:11" ht="15.6" customHeight="1" thickBot="1">
      <c r="B7" s="222">
        <v>3</v>
      </c>
      <c r="C7" s="224"/>
      <c r="D7" s="238">
        <f t="shared" si="0"/>
        <v>0</v>
      </c>
      <c r="E7" s="224"/>
      <c r="F7" s="243"/>
      <c r="G7" s="217">
        <v>30</v>
      </c>
      <c r="H7" s="217">
        <f t="shared" si="1"/>
        <v>160</v>
      </c>
      <c r="I7" s="256">
        <v>500</v>
      </c>
      <c r="J7" s="254">
        <f>K7+I7</f>
        <v>3205.8967541745988</v>
      </c>
      <c r="K7" s="259">
        <v>2705.8967541745988</v>
      </c>
    </row>
    <row r="8" spans="2:11" ht="16.2" thickBot="1">
      <c r="B8" s="222">
        <v>4</v>
      </c>
      <c r="C8" s="224"/>
      <c r="D8" s="238">
        <f t="shared" si="0"/>
        <v>0</v>
      </c>
      <c r="E8" s="239" t="s">
        <v>266</v>
      </c>
      <c r="F8" s="244"/>
      <c r="G8" s="217">
        <v>30</v>
      </c>
      <c r="H8" s="217">
        <f t="shared" si="1"/>
        <v>190</v>
      </c>
      <c r="I8" s="256"/>
      <c r="J8" s="253">
        <v>3221.7294665145082</v>
      </c>
      <c r="K8" s="246"/>
    </row>
    <row r="9" spans="2:11" ht="16.2" thickBot="1">
      <c r="B9" s="222">
        <v>5</v>
      </c>
      <c r="C9" s="224"/>
      <c r="D9" s="238">
        <f t="shared" si="0"/>
        <v>0</v>
      </c>
      <c r="E9" s="224"/>
      <c r="F9" s="260">
        <v>5.0000000000000001E-3</v>
      </c>
      <c r="G9" s="10">
        <f>215-190</f>
        <v>25</v>
      </c>
      <c r="H9" s="10">
        <f t="shared" si="1"/>
        <v>215</v>
      </c>
      <c r="I9" s="10">
        <v>2830</v>
      </c>
      <c r="J9" s="254">
        <f>3235.18022137413+I9</f>
        <v>6065.1802213741303</v>
      </c>
    </row>
    <row r="10" spans="2:11" ht="16.2" thickBot="1">
      <c r="B10" s="222">
        <v>6</v>
      </c>
      <c r="C10" s="224"/>
      <c r="D10" s="238">
        <f t="shared" si="0"/>
        <v>0</v>
      </c>
      <c r="E10" s="224"/>
      <c r="F10" s="258"/>
      <c r="G10" s="217">
        <f>284-215</f>
        <v>69</v>
      </c>
      <c r="H10" s="217">
        <v>284</v>
      </c>
      <c r="I10" s="217">
        <v>-470</v>
      </c>
      <c r="J10" s="254">
        <f>K10+I10</f>
        <v>5665.3265167515974</v>
      </c>
      <c r="K10" s="246">
        <v>6135.3265167515974</v>
      </c>
    </row>
    <row r="11" spans="2:11" ht="16.2" thickBot="1">
      <c r="B11" s="222">
        <v>7</v>
      </c>
      <c r="C11" s="224"/>
      <c r="D11" s="238"/>
      <c r="E11" s="224"/>
      <c r="F11" s="243"/>
      <c r="G11" s="217">
        <f>342-H10</f>
        <v>58</v>
      </c>
      <c r="H11" s="217">
        <v>342</v>
      </c>
      <c r="I11" s="217"/>
      <c r="J11" s="254">
        <v>5720.3522838164772</v>
      </c>
    </row>
    <row r="12" spans="2:11" ht="16.2" thickBot="1">
      <c r="B12" s="222">
        <v>8</v>
      </c>
      <c r="C12" s="224"/>
      <c r="D12" s="238"/>
      <c r="E12" s="228"/>
      <c r="F12" s="232"/>
      <c r="G12" s="255"/>
      <c r="H12" s="255"/>
      <c r="I12" s="255"/>
      <c r="J12" s="255"/>
    </row>
    <row r="13" spans="2:11" ht="16.2" thickBot="1">
      <c r="B13" s="222">
        <v>9</v>
      </c>
      <c r="C13" s="224"/>
      <c r="D13" s="238"/>
      <c r="E13" s="229"/>
      <c r="F13" s="233"/>
      <c r="G13" s="257"/>
      <c r="H13" s="257"/>
      <c r="I13" s="257"/>
      <c r="J13" s="218"/>
    </row>
    <row r="14" spans="2:11" ht="16.2" thickBot="1">
      <c r="B14" s="222">
        <v>10</v>
      </c>
      <c r="C14" s="224"/>
      <c r="D14" s="238"/>
      <c r="E14" s="230"/>
      <c r="F14" s="234"/>
      <c r="G14" s="219"/>
      <c r="H14" s="219"/>
      <c r="I14" s="219"/>
      <c r="J14" s="220"/>
    </row>
    <row r="15" spans="2:11" ht="16.2" thickBot="1">
      <c r="B15" s="221">
        <v>11</v>
      </c>
      <c r="C15" s="224"/>
      <c r="D15" s="238"/>
      <c r="E15" s="224"/>
      <c r="F15" s="231"/>
      <c r="G15" s="217"/>
      <c r="H15" s="217"/>
      <c r="I15" s="217"/>
      <c r="J15" s="217"/>
    </row>
    <row r="16" spans="2:11" ht="16.2" thickBot="1">
      <c r="B16" s="3"/>
      <c r="C16" s="226"/>
      <c r="D16" s="236"/>
      <c r="E16" s="226"/>
      <c r="F16" s="3"/>
      <c r="G16" s="3"/>
      <c r="H16" s="3"/>
      <c r="I16" s="3"/>
      <c r="J16" s="3"/>
    </row>
    <row r="17" spans="2:17" ht="16.2" thickBot="1">
      <c r="B17" s="317" t="s">
        <v>267</v>
      </c>
      <c r="C17" s="318"/>
      <c r="D17" s="318"/>
      <c r="E17" s="318"/>
      <c r="F17" s="318"/>
      <c r="G17" s="318"/>
      <c r="H17" s="318"/>
      <c r="I17" s="319"/>
      <c r="J17"/>
      <c r="K17" s="287" t="s">
        <v>268</v>
      </c>
      <c r="L17" s="288"/>
      <c r="M17" s="288"/>
      <c r="N17" s="288"/>
      <c r="O17" s="288"/>
      <c r="P17" s="288"/>
      <c r="Q17" s="289"/>
    </row>
    <row r="18" spans="2:17" ht="15.6">
      <c r="B18" s="31"/>
      <c r="C18" s="18"/>
      <c r="D18" s="72"/>
      <c r="E18" s="18"/>
      <c r="F18" s="18"/>
      <c r="G18" s="18"/>
      <c r="H18" s="18"/>
      <c r="I18" s="19"/>
      <c r="J18"/>
      <c r="K18" s="16"/>
      <c r="L18" s="17"/>
      <c r="M18" s="17"/>
      <c r="N18" s="17"/>
      <c r="O18" s="17"/>
      <c r="P18" s="18"/>
      <c r="Q18" s="19"/>
    </row>
    <row r="19" spans="2:17" ht="16.2" thickBot="1">
      <c r="B19" s="299"/>
      <c r="C19" s="300"/>
      <c r="D19" s="73"/>
      <c r="E19" s="2"/>
      <c r="F19" s="2"/>
      <c r="G19" s="2"/>
      <c r="H19" s="2"/>
      <c r="I19" s="22"/>
      <c r="J19"/>
      <c r="K19" s="291" t="s">
        <v>44</v>
      </c>
      <c r="L19" s="292"/>
      <c r="M19" s="53" t="s">
        <v>269</v>
      </c>
      <c r="N19" s="21"/>
      <c r="O19" s="21"/>
      <c r="P19" s="2"/>
      <c r="Q19" s="22"/>
    </row>
    <row r="20" spans="2:17" ht="16.2" thickBot="1">
      <c r="B20" s="122" t="s">
        <v>81</v>
      </c>
      <c r="C20" s="216"/>
      <c r="D20" s="124" t="s">
        <v>270</v>
      </c>
      <c r="E20" s="125"/>
      <c r="F20" s="125"/>
      <c r="G20" s="125"/>
      <c r="H20" s="125"/>
      <c r="I20" s="126"/>
      <c r="J20"/>
      <c r="K20" s="46" t="s">
        <v>19</v>
      </c>
      <c r="L20" s="254"/>
      <c r="M20" s="21"/>
      <c r="N20" s="45"/>
      <c r="O20" s="45"/>
      <c r="P20" s="2"/>
      <c r="Q20" s="22"/>
    </row>
    <row r="21" spans="2:17" ht="15.6">
      <c r="B21" s="122" t="s">
        <v>25</v>
      </c>
      <c r="C21" s="241"/>
      <c r="D21" s="124"/>
      <c r="E21" s="125"/>
      <c r="F21" s="125"/>
      <c r="G21" s="125"/>
      <c r="H21" s="125"/>
      <c r="I21" s="126"/>
      <c r="J21"/>
      <c r="K21" s="41" t="s">
        <v>47</v>
      </c>
      <c r="L21" s="67"/>
      <c r="M21" s="21" t="s">
        <v>271</v>
      </c>
      <c r="N21" s="21"/>
      <c r="O21" s="21"/>
      <c r="P21" s="2"/>
      <c r="Q21" s="22"/>
    </row>
    <row r="22" spans="2:17" ht="15.6">
      <c r="B22" s="122" t="s">
        <v>108</v>
      </c>
      <c r="C22" s="127"/>
      <c r="D22" s="124"/>
      <c r="E22" s="295"/>
      <c r="F22" s="295"/>
      <c r="G22" s="295"/>
      <c r="H22" s="196"/>
      <c r="I22" s="126"/>
      <c r="J22"/>
      <c r="K22" s="41" t="s">
        <v>49</v>
      </c>
      <c r="L22" s="14"/>
      <c r="M22" s="21"/>
      <c r="N22" s="21"/>
      <c r="O22" s="21"/>
      <c r="P22" s="2"/>
      <c r="Q22" s="22"/>
    </row>
    <row r="23" spans="2:17" ht="15.6">
      <c r="B23" s="122" t="s">
        <v>109</v>
      </c>
      <c r="C23" s="127">
        <v>180</v>
      </c>
      <c r="D23" s="124"/>
      <c r="E23"/>
      <c r="F23"/>
      <c r="G23"/>
      <c r="H23"/>
      <c r="I23" s="128"/>
      <c r="J23"/>
      <c r="K23" s="247" t="s">
        <v>50</v>
      </c>
      <c r="L23" s="248"/>
      <c r="M23" s="21"/>
      <c r="N23" s="21"/>
      <c r="O23" s="21"/>
      <c r="P23" s="2"/>
      <c r="Q23" s="22"/>
    </row>
    <row r="24" spans="2:17" ht="15.6">
      <c r="B24" s="129"/>
      <c r="D24" s="124"/>
      <c r="E24" s="293"/>
      <c r="F24" s="293"/>
      <c r="G24" s="293"/>
      <c r="H24" s="195"/>
      <c r="I24" s="126"/>
      <c r="J24"/>
      <c r="K24" s="23"/>
      <c r="L24" s="2"/>
      <c r="M24" s="2"/>
      <c r="N24" s="2"/>
      <c r="O24" s="2"/>
      <c r="P24" s="2"/>
      <c r="Q24" s="22"/>
    </row>
    <row r="25" spans="2:17" ht="15.6">
      <c r="B25" s="137"/>
      <c r="C25" s="130"/>
      <c r="D25" s="124"/>
      <c r="E25" s="116">
        <f>C20</f>
        <v>0</v>
      </c>
      <c r="F25" s="124"/>
      <c r="G25" s="124"/>
      <c r="H25" s="124"/>
      <c r="I25" s="126"/>
      <c r="J25"/>
      <c r="K25" s="23"/>
      <c r="L25" s="2"/>
      <c r="M25" s="2"/>
      <c r="N25" s="62">
        <f>L21</f>
        <v>0</v>
      </c>
      <c r="O25" s="2"/>
      <c r="P25" s="2"/>
      <c r="Q25" s="22"/>
    </row>
    <row r="26" spans="2:17" ht="16.2" thickBot="1">
      <c r="B26" s="131" t="s">
        <v>24</v>
      </c>
      <c r="C26" s="124" t="s">
        <v>25</v>
      </c>
      <c r="D26" s="124" t="s">
        <v>87</v>
      </c>
      <c r="E26" s="124" t="s">
        <v>88</v>
      </c>
      <c r="F26" s="124" t="s">
        <v>110</v>
      </c>
      <c r="G26" s="124" t="s">
        <v>111</v>
      </c>
      <c r="H26" s="124"/>
      <c r="I26" s="126"/>
      <c r="J26"/>
      <c r="K26" s="24" t="s">
        <v>51</v>
      </c>
      <c r="L26" s="3" t="s">
        <v>25</v>
      </c>
      <c r="M26" s="3" t="s">
        <v>26</v>
      </c>
      <c r="N26" s="3" t="s">
        <v>52</v>
      </c>
      <c r="O26" s="3" t="s">
        <v>53</v>
      </c>
      <c r="P26" s="3" t="s">
        <v>54</v>
      </c>
      <c r="Q26" s="22"/>
    </row>
    <row r="27" spans="2:17" ht="16.2" thickBot="1">
      <c r="B27" s="142">
        <f>C27*((D27+E27)^(F27/G27))</f>
        <v>0</v>
      </c>
      <c r="C27" s="57">
        <f>C21</f>
        <v>0</v>
      </c>
      <c r="D27" s="132">
        <v>1</v>
      </c>
      <c r="E27" s="141">
        <f>C20</f>
        <v>0</v>
      </c>
      <c r="F27" s="57">
        <f>C22</f>
        <v>0</v>
      </c>
      <c r="G27" s="57">
        <f>C23</f>
        <v>180</v>
      </c>
      <c r="H27" s="57"/>
      <c r="I27" s="133"/>
      <c r="J27"/>
      <c r="K27" s="69" t="e">
        <f>L27*((M27+(N27/O27))^P27)</f>
        <v>#DIV/0!</v>
      </c>
      <c r="L27" s="48">
        <f>L20</f>
        <v>0</v>
      </c>
      <c r="M27" s="51">
        <v>1</v>
      </c>
      <c r="N27" s="71">
        <f>L21</f>
        <v>0</v>
      </c>
      <c r="O27" s="48">
        <f>L22</f>
        <v>0</v>
      </c>
      <c r="P27" s="50">
        <f>L23</f>
        <v>0</v>
      </c>
      <c r="Q27" s="22"/>
    </row>
    <row r="28" spans="2:17" ht="16.2" thickBot="1">
      <c r="B28" s="26"/>
      <c r="C28" s="37"/>
      <c r="D28" s="28"/>
      <c r="E28" s="38"/>
      <c r="F28" s="37"/>
      <c r="G28" s="37"/>
      <c r="H28" s="37"/>
      <c r="I28" s="34"/>
      <c r="J28"/>
      <c r="K28" s="26"/>
      <c r="L28" s="37"/>
      <c r="M28" s="28"/>
      <c r="N28" s="38"/>
      <c r="O28" s="37"/>
      <c r="P28" s="29"/>
      <c r="Q28" s="30"/>
    </row>
    <row r="29" spans="2:17">
      <c r="J29"/>
    </row>
    <row r="30" spans="2:17" ht="15" thickBot="1">
      <c r="J30"/>
    </row>
    <row r="31" spans="2:17" ht="16.2" thickBot="1">
      <c r="B31" s="287" t="s">
        <v>268</v>
      </c>
      <c r="C31" s="288"/>
      <c r="D31" s="288"/>
      <c r="E31" s="288"/>
      <c r="F31" s="288"/>
      <c r="G31" s="288"/>
      <c r="H31" s="288"/>
      <c r="I31" s="289"/>
    </row>
    <row r="32" spans="2:17" ht="15.6">
      <c r="B32" s="16"/>
      <c r="C32" s="17"/>
      <c r="D32" s="17"/>
      <c r="E32" s="17"/>
      <c r="F32" s="17"/>
      <c r="G32" s="18"/>
      <c r="H32" s="18"/>
      <c r="I32" s="19"/>
    </row>
    <row r="33" spans="2:9" ht="15.6">
      <c r="B33" s="291" t="s">
        <v>44</v>
      </c>
      <c r="C33" s="292"/>
      <c r="D33" s="53" t="s">
        <v>269</v>
      </c>
      <c r="E33" s="21"/>
      <c r="F33" s="21"/>
      <c r="G33" s="2"/>
      <c r="H33" s="2"/>
      <c r="I33" s="22"/>
    </row>
    <row r="34" spans="2:9" ht="15.6">
      <c r="B34" s="46" t="s">
        <v>19</v>
      </c>
      <c r="C34" s="242"/>
      <c r="D34" s="21"/>
      <c r="E34" s="45"/>
      <c r="F34" s="45"/>
      <c r="G34" s="2"/>
      <c r="H34" s="2"/>
      <c r="I34" s="22"/>
    </row>
    <row r="35" spans="2:9" ht="15.6">
      <c r="B35" s="41" t="s">
        <v>47</v>
      </c>
      <c r="C35" s="67"/>
      <c r="D35" s="21" t="s">
        <v>271</v>
      </c>
      <c r="E35" s="21"/>
      <c r="F35" s="21"/>
      <c r="G35" s="2"/>
      <c r="H35" s="2"/>
      <c r="I35" s="22"/>
    </row>
    <row r="36" spans="2:9" ht="15.6">
      <c r="B36" s="41" t="s">
        <v>49</v>
      </c>
      <c r="C36" s="14"/>
      <c r="D36" s="21"/>
      <c r="E36" s="21"/>
      <c r="F36" s="21"/>
      <c r="G36" s="2"/>
      <c r="H36" s="2"/>
      <c r="I36" s="22"/>
    </row>
    <row r="37" spans="2:9" ht="15.6">
      <c r="B37" s="41" t="s">
        <v>50</v>
      </c>
      <c r="C37" s="14"/>
      <c r="D37" s="21"/>
      <c r="E37" s="21"/>
      <c r="F37" s="21"/>
      <c r="G37" s="2"/>
      <c r="H37" s="2"/>
      <c r="I37" s="22"/>
    </row>
    <row r="38" spans="2:9" ht="15.6">
      <c r="B38" s="23"/>
      <c r="C38" s="2"/>
      <c r="D38" s="2"/>
      <c r="E38" s="2"/>
      <c r="F38" s="2"/>
      <c r="G38" s="2"/>
      <c r="H38" s="2"/>
      <c r="I38" s="22"/>
    </row>
    <row r="39" spans="2:9" ht="15.6">
      <c r="B39" s="23"/>
      <c r="C39" s="2"/>
      <c r="D39" s="2"/>
      <c r="E39" s="62">
        <f>C35</f>
        <v>0</v>
      </c>
      <c r="F39" s="2"/>
      <c r="G39" s="2"/>
      <c r="H39" s="2"/>
      <c r="I39" s="22"/>
    </row>
    <row r="40" spans="2:9" ht="16.2" thickBot="1">
      <c r="B40" s="24" t="s">
        <v>51</v>
      </c>
      <c r="C40" s="3" t="s">
        <v>25</v>
      </c>
      <c r="D40" s="3" t="s">
        <v>26</v>
      </c>
      <c r="E40" s="3" t="s">
        <v>52</v>
      </c>
      <c r="F40" s="3" t="s">
        <v>53</v>
      </c>
      <c r="G40" s="3" t="s">
        <v>54</v>
      </c>
      <c r="H40" s="3"/>
      <c r="I40" s="22"/>
    </row>
    <row r="41" spans="2:9" ht="16.2" thickBot="1">
      <c r="B41" s="69" t="e">
        <f>C41*((D41+(E41/F41))^G41)</f>
        <v>#DIV/0!</v>
      </c>
      <c r="C41" s="48">
        <f>C34</f>
        <v>0</v>
      </c>
      <c r="D41" s="51">
        <v>1</v>
      </c>
      <c r="E41" s="71">
        <f>C35</f>
        <v>0</v>
      </c>
      <c r="F41" s="48">
        <f>C36</f>
        <v>0</v>
      </c>
      <c r="G41" s="50">
        <f>C37</f>
        <v>0</v>
      </c>
      <c r="H41" s="50"/>
      <c r="I41" s="22"/>
    </row>
    <row r="42" spans="2:9" ht="16.2" thickBot="1">
      <c r="B42" s="26"/>
      <c r="C42" s="37"/>
      <c r="D42" s="28"/>
      <c r="E42" s="38"/>
      <c r="F42" s="37"/>
      <c r="G42" s="29"/>
      <c r="H42" s="29"/>
      <c r="I42" s="30"/>
    </row>
  </sheetData>
  <autoFilter ref="C3:C15" xr:uid="{F2D04C5A-E7B0-4EFF-90BA-0E1976D9B32E}">
    <sortState xmlns:xlrd2="http://schemas.microsoft.com/office/spreadsheetml/2017/richdata2" ref="B4:J15">
      <sortCondition ref="C3:C15"/>
    </sortState>
  </autoFilter>
  <mergeCells count="8">
    <mergeCell ref="B33:C33"/>
    <mergeCell ref="B17:I17"/>
    <mergeCell ref="B19:C19"/>
    <mergeCell ref="K17:Q17"/>
    <mergeCell ref="K19:L19"/>
    <mergeCell ref="E22:G22"/>
    <mergeCell ref="E24:G24"/>
    <mergeCell ref="B31:I3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35518-B4DC-412E-A8ED-F2907F1E7267}">
  <dimension ref="A2:AI54"/>
  <sheetViews>
    <sheetView zoomScale="70" zoomScaleNormal="70" workbookViewId="0">
      <selection activeCell="H10" sqref="H10"/>
    </sheetView>
  </sheetViews>
  <sheetFormatPr baseColWidth="10" defaultColWidth="11.44140625" defaultRowHeight="14.4"/>
  <cols>
    <col min="2" max="2" width="22.44140625" bestFit="1" customWidth="1"/>
    <col min="3" max="3" width="23.44140625" customWidth="1"/>
    <col min="4" max="4" width="15.33203125" bestFit="1" customWidth="1"/>
    <col min="5" max="5" width="15.77734375" bestFit="1" customWidth="1"/>
    <col min="6" max="6" width="15.33203125" bestFit="1" customWidth="1"/>
    <col min="7" max="7" width="13.5546875" bestFit="1" customWidth="1"/>
    <col min="8" max="8" width="14.109375" bestFit="1" customWidth="1"/>
    <col min="14" max="14" width="31.33203125" customWidth="1"/>
    <col min="15" max="15" width="20.5546875" bestFit="1" customWidth="1"/>
    <col min="16" max="16" width="16.109375" bestFit="1" customWidth="1"/>
    <col min="18" max="18" width="15.6640625" bestFit="1" customWidth="1"/>
    <col min="19" max="19" width="13.5546875" bestFit="1" customWidth="1"/>
    <col min="22" max="22" width="15.33203125" bestFit="1" customWidth="1"/>
  </cols>
  <sheetData>
    <row r="2" spans="1:35" ht="24.6">
      <c r="B2" s="316" t="s">
        <v>215</v>
      </c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  <c r="R2" s="316"/>
      <c r="S2" s="316"/>
      <c r="T2" s="316"/>
      <c r="U2" s="316"/>
      <c r="V2" s="316"/>
      <c r="W2" s="316"/>
      <c r="X2" s="316"/>
    </row>
    <row r="3" spans="1:35" ht="15" thickBot="1"/>
    <row r="4" spans="1:35" ht="16.2" thickBot="1">
      <c r="B4" s="309" t="s">
        <v>216</v>
      </c>
      <c r="C4" s="310"/>
      <c r="D4" s="310"/>
      <c r="E4" s="310"/>
      <c r="F4" s="310"/>
      <c r="G4" s="310"/>
      <c r="H4" s="310"/>
      <c r="I4" s="310"/>
      <c r="J4" s="310"/>
      <c r="K4" s="310"/>
      <c r="L4" s="311"/>
      <c r="N4" s="309" t="s">
        <v>217</v>
      </c>
      <c r="O4" s="310"/>
      <c r="P4" s="310"/>
      <c r="Q4" s="310"/>
      <c r="R4" s="310"/>
      <c r="S4" s="310"/>
      <c r="T4" s="310"/>
      <c r="U4" s="310"/>
      <c r="V4" s="310"/>
      <c r="W4" s="310"/>
      <c r="X4" s="311"/>
    </row>
    <row r="5" spans="1:35" ht="15.6">
      <c r="B5" s="16"/>
      <c r="C5" s="17"/>
      <c r="D5" s="72"/>
      <c r="E5" s="17"/>
      <c r="F5" s="17"/>
      <c r="G5" s="17"/>
      <c r="H5" s="17"/>
      <c r="I5" s="17"/>
      <c r="J5" s="17"/>
      <c r="K5" s="17"/>
      <c r="L5" s="204"/>
      <c r="N5" s="16"/>
      <c r="O5" s="17"/>
      <c r="P5" s="72"/>
      <c r="Q5" s="17"/>
      <c r="R5" s="17"/>
      <c r="S5" s="17"/>
      <c r="T5" s="17"/>
      <c r="U5" s="17"/>
      <c r="V5" s="17"/>
      <c r="X5" s="19"/>
    </row>
    <row r="6" spans="1:35" ht="16.2" thickBot="1">
      <c r="B6" s="291"/>
      <c r="C6" s="292"/>
      <c r="D6" s="74"/>
      <c r="E6" s="21"/>
      <c r="F6" s="21"/>
      <c r="G6" s="21"/>
      <c r="H6" s="21"/>
      <c r="I6" s="21"/>
      <c r="J6" s="21"/>
      <c r="K6" s="21"/>
      <c r="L6" s="205"/>
      <c r="N6" s="291"/>
      <c r="O6" s="292"/>
      <c r="P6" s="74"/>
      <c r="Q6" s="21"/>
      <c r="R6" s="21"/>
      <c r="S6" s="21"/>
      <c r="T6" s="21"/>
      <c r="U6" s="21"/>
      <c r="V6" s="21"/>
      <c r="W6" s="2"/>
      <c r="X6" s="22"/>
    </row>
    <row r="7" spans="1:35" ht="15.6">
      <c r="A7" s="18"/>
      <c r="B7" s="46" t="s">
        <v>218</v>
      </c>
      <c r="C7" s="275">
        <v>6</v>
      </c>
      <c r="D7" s="3"/>
      <c r="E7" s="45"/>
      <c r="F7" s="45"/>
      <c r="G7" s="45"/>
      <c r="H7" s="45"/>
      <c r="I7" s="45"/>
      <c r="J7" s="45"/>
      <c r="K7" s="45"/>
      <c r="L7" s="206"/>
      <c r="N7" s="46" t="s">
        <v>19</v>
      </c>
      <c r="O7" s="275">
        <v>5</v>
      </c>
      <c r="P7" s="3"/>
      <c r="Q7" s="45"/>
      <c r="R7" s="45"/>
      <c r="S7" s="45"/>
      <c r="T7" s="45"/>
      <c r="U7" s="45"/>
      <c r="V7" s="45"/>
      <c r="W7" s="2"/>
      <c r="X7" s="22"/>
    </row>
    <row r="8" spans="1:35" ht="15.6">
      <c r="B8" s="41" t="s">
        <v>219</v>
      </c>
      <c r="C8" s="213">
        <v>0.12</v>
      </c>
      <c r="D8" s="3"/>
      <c r="E8" s="21"/>
      <c r="F8" s="21"/>
      <c r="G8" s="21"/>
      <c r="H8" s="21"/>
      <c r="I8" s="21"/>
      <c r="J8" s="21"/>
      <c r="K8" s="21"/>
      <c r="L8" s="205"/>
      <c r="N8" s="41" t="s">
        <v>220</v>
      </c>
      <c r="O8" s="213">
        <v>0.12</v>
      </c>
      <c r="P8" s="3" t="s">
        <v>62</v>
      </c>
      <c r="Q8" s="21"/>
      <c r="R8" s="21"/>
      <c r="S8" s="21"/>
      <c r="T8" s="21"/>
      <c r="U8" s="21"/>
      <c r="V8" s="21"/>
      <c r="W8" s="2"/>
      <c r="X8" s="22"/>
    </row>
    <row r="9" spans="1:35" ht="15.6">
      <c r="B9" s="41" t="s">
        <v>221</v>
      </c>
      <c r="C9" s="58">
        <v>1</v>
      </c>
      <c r="D9" s="3"/>
      <c r="E9" s="21"/>
      <c r="F9" s="21"/>
      <c r="G9" s="21"/>
      <c r="H9" s="21"/>
      <c r="I9" s="21"/>
      <c r="J9" s="21"/>
      <c r="K9" s="21"/>
      <c r="L9" s="205"/>
      <c r="N9" s="41" t="s">
        <v>222</v>
      </c>
      <c r="O9" s="58">
        <v>4</v>
      </c>
      <c r="P9" s="3"/>
      <c r="Q9" s="21"/>
      <c r="R9" s="21"/>
      <c r="S9" s="21"/>
      <c r="T9" s="21"/>
      <c r="U9" s="21"/>
      <c r="V9" s="21"/>
      <c r="W9" s="2"/>
      <c r="X9" s="22"/>
      <c r="AI9" s="210">
        <f>20%*42199</f>
        <v>8439.8000000000011</v>
      </c>
    </row>
    <row r="10" spans="1:35" ht="15.6">
      <c r="B10" s="41"/>
      <c r="C10" s="58"/>
      <c r="D10" s="3"/>
      <c r="E10" s="21"/>
      <c r="F10" s="21"/>
      <c r="G10" s="21"/>
      <c r="H10" s="21"/>
      <c r="I10" s="21"/>
      <c r="J10" s="21"/>
      <c r="K10" s="21"/>
      <c r="L10" s="205"/>
      <c r="N10" s="41"/>
      <c r="O10" s="58"/>
      <c r="P10" s="3"/>
      <c r="Q10" s="21"/>
      <c r="R10" s="21"/>
      <c r="S10" s="21"/>
      <c r="T10" s="21"/>
      <c r="U10" s="21"/>
      <c r="V10" s="21"/>
      <c r="W10" s="2"/>
      <c r="X10" s="22"/>
    </row>
    <row r="11" spans="1:35" ht="15.6">
      <c r="B11" s="23"/>
      <c r="C11" s="2"/>
      <c r="D11" s="3"/>
      <c r="E11" s="2"/>
      <c r="F11" s="2"/>
      <c r="G11" s="2"/>
      <c r="H11" s="2"/>
      <c r="I11" s="2"/>
      <c r="J11" s="2"/>
      <c r="K11" s="2"/>
      <c r="L11" s="22"/>
      <c r="N11" s="23"/>
      <c r="O11" s="2"/>
      <c r="P11" s="3"/>
      <c r="Q11" s="2"/>
      <c r="R11" s="2"/>
      <c r="S11" s="2"/>
      <c r="T11" s="2"/>
      <c r="U11" s="2"/>
      <c r="V11" s="2"/>
      <c r="W11" s="2"/>
      <c r="X11" s="22"/>
    </row>
    <row r="12" spans="1:35" ht="15.6">
      <c r="B12" s="166"/>
      <c r="C12" s="2"/>
      <c r="D12" s="3"/>
      <c r="E12" s="2"/>
      <c r="F12" s="2"/>
      <c r="G12" s="2"/>
      <c r="H12" s="2"/>
      <c r="I12" s="2"/>
      <c r="J12" s="2"/>
      <c r="K12" s="2"/>
      <c r="L12" s="22"/>
      <c r="N12" s="166"/>
      <c r="O12" s="2"/>
      <c r="P12" s="3"/>
      <c r="Q12" s="2"/>
      <c r="R12" s="2"/>
      <c r="S12" s="2"/>
      <c r="T12" s="2"/>
      <c r="U12" s="2"/>
      <c r="V12" s="2"/>
      <c r="W12" s="2"/>
      <c r="X12" s="22"/>
    </row>
    <row r="13" spans="1:35" ht="15.6">
      <c r="B13" s="24" t="s">
        <v>223</v>
      </c>
      <c r="C13" s="25" t="s">
        <v>39</v>
      </c>
      <c r="D13" s="3" t="s">
        <v>224</v>
      </c>
      <c r="E13" s="3" t="s">
        <v>225</v>
      </c>
      <c r="F13" s="3" t="s">
        <v>27</v>
      </c>
      <c r="G13" s="3" t="s">
        <v>226</v>
      </c>
      <c r="H13" s="3" t="s">
        <v>227</v>
      </c>
      <c r="I13" s="3"/>
      <c r="J13" s="3"/>
      <c r="K13" s="3"/>
      <c r="L13" s="33"/>
      <c r="N13" s="24" t="s">
        <v>228</v>
      </c>
      <c r="O13" s="3" t="s">
        <v>229</v>
      </c>
      <c r="P13" s="3" t="s">
        <v>230</v>
      </c>
      <c r="Q13" s="3" t="s">
        <v>87</v>
      </c>
      <c r="R13" s="3" t="s">
        <v>231</v>
      </c>
      <c r="S13" s="3" t="s">
        <v>232</v>
      </c>
      <c r="T13" s="3" t="s">
        <v>233</v>
      </c>
      <c r="U13" s="3" t="s">
        <v>87</v>
      </c>
      <c r="V13" s="3" t="s">
        <v>231</v>
      </c>
      <c r="W13" s="3" t="s">
        <v>232</v>
      </c>
      <c r="X13" s="22">
        <v>1</v>
      </c>
    </row>
    <row r="14" spans="1:35" ht="15.6">
      <c r="B14" s="175">
        <f>C14*(((D14)/(((E14+F14)^G14)-H14)))</f>
        <v>5.9999999999999947</v>
      </c>
      <c r="C14" s="189">
        <f>C7</f>
        <v>6</v>
      </c>
      <c r="D14" s="214">
        <f>C8</f>
        <v>0.12</v>
      </c>
      <c r="E14" s="136">
        <v>1</v>
      </c>
      <c r="F14" s="164">
        <f>C8</f>
        <v>0.12</v>
      </c>
      <c r="G14" s="57">
        <f>C9</f>
        <v>1</v>
      </c>
      <c r="H14" s="138">
        <v>1</v>
      </c>
      <c r="I14" s="138"/>
      <c r="J14" s="138"/>
      <c r="K14" s="138"/>
      <c r="L14" s="207"/>
      <c r="N14" s="201">
        <f>O14*((P14*((Q14+R14)^S14))/(((U14+V14)^W14)-X14))</f>
        <v>1.6461721815284482</v>
      </c>
      <c r="O14" s="172">
        <f>O7</f>
        <v>5</v>
      </c>
      <c r="P14" s="211">
        <f>O8</f>
        <v>0.12</v>
      </c>
      <c r="Q14" s="136">
        <v>1</v>
      </c>
      <c r="R14" s="212">
        <f>O8</f>
        <v>0.12</v>
      </c>
      <c r="S14" s="57">
        <f>O9</f>
        <v>4</v>
      </c>
      <c r="T14" s="164"/>
      <c r="U14" s="138">
        <v>1</v>
      </c>
      <c r="V14" s="212">
        <f>O8</f>
        <v>0.12</v>
      </c>
      <c r="W14" s="149">
        <f>O9</f>
        <v>4</v>
      </c>
      <c r="X14" s="203">
        <v>1</v>
      </c>
    </row>
    <row r="15" spans="1:35" ht="16.2" thickBot="1">
      <c r="B15" s="26"/>
      <c r="C15" s="37"/>
      <c r="D15" s="28"/>
      <c r="E15" s="38"/>
      <c r="F15" s="37"/>
      <c r="G15" s="37"/>
      <c r="H15" s="37"/>
      <c r="I15" s="37"/>
      <c r="J15" s="37"/>
      <c r="K15" s="37"/>
      <c r="L15" s="208"/>
      <c r="N15" s="26"/>
      <c r="O15" s="37"/>
      <c r="P15" s="28"/>
      <c r="Q15" s="38"/>
      <c r="R15" s="37"/>
      <c r="S15" s="37"/>
      <c r="T15" s="37"/>
      <c r="U15" s="37"/>
      <c r="V15" s="37"/>
      <c r="W15" s="29"/>
      <c r="X15" s="30"/>
    </row>
    <row r="17" spans="2:26" ht="15" thickBot="1"/>
    <row r="18" spans="2:26" ht="16.2" thickBot="1">
      <c r="B18" s="309" t="s">
        <v>272</v>
      </c>
      <c r="C18" s="310"/>
      <c r="D18" s="310"/>
      <c r="E18" s="310"/>
      <c r="F18" s="310"/>
      <c r="G18" s="310"/>
      <c r="H18" s="310"/>
      <c r="I18" s="310"/>
      <c r="J18" s="310"/>
      <c r="K18" s="310"/>
      <c r="L18" s="311"/>
      <c r="N18" s="309" t="s">
        <v>234</v>
      </c>
      <c r="O18" s="310"/>
      <c r="P18" s="310"/>
      <c r="Q18" s="310"/>
      <c r="R18" s="310"/>
      <c r="S18" s="310"/>
      <c r="T18" s="310"/>
      <c r="U18" s="310"/>
      <c r="V18" s="310"/>
      <c r="W18" s="310"/>
      <c r="X18" s="311"/>
    </row>
    <row r="19" spans="2:26" ht="15.6">
      <c r="B19" s="16"/>
      <c r="C19" s="17"/>
      <c r="D19" s="72"/>
      <c r="E19" s="17"/>
      <c r="F19" s="17"/>
      <c r="G19" s="17"/>
      <c r="H19" s="17"/>
      <c r="I19" s="17"/>
      <c r="J19" s="17"/>
      <c r="K19" s="17"/>
      <c r="L19" s="204"/>
      <c r="N19" s="16"/>
      <c r="O19" s="17"/>
      <c r="P19" s="72"/>
      <c r="Q19" s="17"/>
      <c r="R19" s="17"/>
      <c r="S19" s="17"/>
      <c r="T19" s="17"/>
      <c r="U19" s="17"/>
      <c r="V19" s="17"/>
      <c r="X19" s="19"/>
    </row>
    <row r="20" spans="2:26" ht="15.6">
      <c r="B20" s="291"/>
      <c r="C20" s="292"/>
      <c r="D20" s="74"/>
      <c r="E20" s="21"/>
      <c r="F20" s="21"/>
      <c r="G20" s="21"/>
      <c r="H20" s="21"/>
      <c r="I20" s="21"/>
      <c r="J20" s="21"/>
      <c r="K20" s="21"/>
      <c r="L20" s="205"/>
      <c r="N20" s="291"/>
      <c r="O20" s="292"/>
      <c r="P20" s="74"/>
      <c r="Q20" s="21"/>
      <c r="R20" s="21"/>
      <c r="S20" s="21"/>
      <c r="T20" s="21"/>
      <c r="U20" s="21"/>
      <c r="V20" s="21"/>
      <c r="W20" s="2"/>
      <c r="X20" s="22"/>
    </row>
    <row r="21" spans="2:26" ht="15.6">
      <c r="B21" s="46" t="s">
        <v>235</v>
      </c>
      <c r="C21" s="171">
        <v>5</v>
      </c>
      <c r="D21" s="3"/>
      <c r="E21" s="45"/>
      <c r="F21" s="45"/>
      <c r="G21" s="45"/>
      <c r="H21" s="45"/>
      <c r="I21" s="45"/>
      <c r="J21" s="45"/>
      <c r="K21" s="45"/>
      <c r="L21" s="206"/>
      <c r="N21" s="46" t="s">
        <v>19</v>
      </c>
      <c r="O21" s="171">
        <v>15.19</v>
      </c>
      <c r="P21" s="3"/>
      <c r="Q21" s="45"/>
      <c r="R21" s="45"/>
      <c r="S21" s="45"/>
      <c r="T21" s="45"/>
      <c r="U21" s="45"/>
      <c r="V21" s="45"/>
      <c r="W21" s="2"/>
      <c r="X21" s="22"/>
    </row>
    <row r="22" spans="2:26" ht="15.6">
      <c r="B22" s="41" t="s">
        <v>219</v>
      </c>
      <c r="C22" s="213">
        <v>0.12</v>
      </c>
      <c r="D22" s="3"/>
      <c r="E22" s="21"/>
      <c r="F22" s="21"/>
      <c r="G22" s="21"/>
      <c r="H22" s="21"/>
      <c r="I22" s="21"/>
      <c r="J22" s="21"/>
      <c r="K22" s="21"/>
      <c r="L22" s="205"/>
      <c r="N22" s="41" t="s">
        <v>220</v>
      </c>
      <c r="O22" s="213">
        <v>0.04</v>
      </c>
      <c r="P22" s="3"/>
      <c r="Q22" s="21"/>
      <c r="R22" s="21"/>
      <c r="S22" s="21"/>
      <c r="T22" s="21"/>
      <c r="U22" s="21"/>
      <c r="V22" s="21"/>
      <c r="W22" s="2"/>
      <c r="X22" s="22"/>
    </row>
    <row r="23" spans="2:26" ht="15.6">
      <c r="B23" s="41" t="s">
        <v>221</v>
      </c>
      <c r="C23" s="58">
        <v>4</v>
      </c>
      <c r="D23" s="3"/>
      <c r="E23" s="21"/>
      <c r="F23" s="21"/>
      <c r="G23" s="21"/>
      <c r="H23" s="21"/>
      <c r="I23" s="21"/>
      <c r="J23" s="21"/>
      <c r="K23" s="21"/>
      <c r="L23" s="205"/>
      <c r="N23" s="41" t="s">
        <v>222</v>
      </c>
      <c r="O23" s="58">
        <v>1</v>
      </c>
      <c r="P23" s="3"/>
      <c r="Q23" s="21"/>
      <c r="R23" s="21"/>
      <c r="S23" s="21"/>
      <c r="T23" s="21"/>
      <c r="U23" s="21"/>
      <c r="V23" s="21"/>
      <c r="W23" s="2"/>
      <c r="X23" s="22"/>
    </row>
    <row r="24" spans="2:26" ht="15.6">
      <c r="B24" s="41"/>
      <c r="C24" s="58"/>
      <c r="D24" s="3"/>
      <c r="E24" s="21"/>
      <c r="F24" s="21"/>
      <c r="G24" s="21"/>
      <c r="H24" s="21"/>
      <c r="I24" s="21"/>
      <c r="J24" s="21"/>
      <c r="K24" s="21"/>
      <c r="L24" s="205"/>
      <c r="N24" s="41"/>
      <c r="O24" s="58"/>
      <c r="P24" s="3"/>
      <c r="Q24" s="21"/>
      <c r="R24" s="21"/>
      <c r="S24" s="21"/>
      <c r="T24" s="21"/>
      <c r="U24" s="21"/>
      <c r="V24" s="21"/>
      <c r="W24" s="2"/>
      <c r="X24" s="22"/>
    </row>
    <row r="25" spans="2:26" ht="15.6">
      <c r="B25" s="23"/>
      <c r="C25" s="2"/>
      <c r="D25" s="3"/>
      <c r="E25" s="2"/>
      <c r="F25" s="2"/>
      <c r="G25" s="2"/>
      <c r="H25" s="2"/>
      <c r="I25" s="2"/>
      <c r="J25" s="2"/>
      <c r="K25" s="2"/>
      <c r="L25" s="22"/>
      <c r="N25" s="23"/>
      <c r="O25" s="2"/>
      <c r="P25" s="3"/>
      <c r="Q25" s="2"/>
      <c r="R25" s="2"/>
      <c r="S25" s="2"/>
      <c r="T25" s="2"/>
      <c r="U25" s="2"/>
      <c r="V25" s="2"/>
      <c r="W25" s="2"/>
      <c r="X25" s="22"/>
    </row>
    <row r="26" spans="2:26" ht="15.6">
      <c r="B26" s="166"/>
      <c r="C26" s="2"/>
      <c r="D26" s="3"/>
      <c r="E26" s="2"/>
      <c r="F26" s="2"/>
      <c r="G26" s="2"/>
      <c r="H26" s="2"/>
      <c r="I26" s="2"/>
      <c r="J26" s="2"/>
      <c r="K26" s="2"/>
      <c r="L26" s="22"/>
      <c r="N26" s="166"/>
      <c r="O26" s="2"/>
      <c r="P26" s="3"/>
      <c r="Q26" s="2"/>
      <c r="R26" s="2"/>
      <c r="S26" s="2"/>
      <c r="T26" s="2"/>
      <c r="U26" s="2"/>
      <c r="V26" s="2"/>
      <c r="W26" s="2"/>
      <c r="X26" s="22"/>
    </row>
    <row r="27" spans="2:26" ht="15.6">
      <c r="B27" s="24" t="s">
        <v>236</v>
      </c>
      <c r="C27" s="25" t="s">
        <v>237</v>
      </c>
      <c r="D27" s="3" t="s">
        <v>238</v>
      </c>
      <c r="E27" s="3" t="s">
        <v>239</v>
      </c>
      <c r="F27" s="3" t="s">
        <v>82</v>
      </c>
      <c r="G27" s="3" t="s">
        <v>240</v>
      </c>
      <c r="H27" s="3" t="s">
        <v>241</v>
      </c>
      <c r="I27" s="3" t="s">
        <v>26</v>
      </c>
      <c r="J27" s="3" t="s">
        <v>231</v>
      </c>
      <c r="K27" s="3" t="s">
        <v>242</v>
      </c>
      <c r="L27" s="33"/>
      <c r="N27" s="24" t="s">
        <v>228</v>
      </c>
      <c r="O27" s="3" t="s">
        <v>25</v>
      </c>
      <c r="P27" s="3" t="s">
        <v>243</v>
      </c>
      <c r="Q27" s="3" t="s">
        <v>87</v>
      </c>
      <c r="R27" s="3" t="s">
        <v>231</v>
      </c>
      <c r="S27" s="3" t="s">
        <v>244</v>
      </c>
      <c r="T27" s="3" t="s">
        <v>227</v>
      </c>
      <c r="U27" s="3" t="s">
        <v>245</v>
      </c>
      <c r="V27" s="3" t="s">
        <v>231</v>
      </c>
      <c r="W27" s="3" t="s">
        <v>54</v>
      </c>
      <c r="X27" s="22">
        <v>1</v>
      </c>
      <c r="Z27">
        <f>48/3</f>
        <v>16</v>
      </c>
    </row>
    <row r="28" spans="2:26" ht="15.6">
      <c r="B28" s="175">
        <f>C28*((((D28+E28)^F28)-G28)/((H28*(I28+J28)^K28)))</f>
        <v>15.186746733132034</v>
      </c>
      <c r="C28" s="189">
        <f>C21</f>
        <v>5</v>
      </c>
      <c r="D28" s="250">
        <v>1</v>
      </c>
      <c r="E28" s="249">
        <f>C22</f>
        <v>0.12</v>
      </c>
      <c r="F28" s="149">
        <f>C23</f>
        <v>4</v>
      </c>
      <c r="G28" s="57">
        <v>1</v>
      </c>
      <c r="H28" s="138">
        <f>C22</f>
        <v>0.12</v>
      </c>
      <c r="I28" s="138">
        <v>1</v>
      </c>
      <c r="J28" s="251">
        <f>C22</f>
        <v>0.12</v>
      </c>
      <c r="K28" s="138">
        <f>C23</f>
        <v>4</v>
      </c>
      <c r="L28" s="207"/>
      <c r="N28" s="175">
        <f>O28*((P28*((Q28+R28)^(S28-T28)))/(((U28+V28)^W28)-X28))</f>
        <v>15.189999999999985</v>
      </c>
      <c r="O28" s="172">
        <f>O21</f>
        <v>15.19</v>
      </c>
      <c r="P28" s="211">
        <f>O22</f>
        <v>0.04</v>
      </c>
      <c r="Q28" s="136">
        <v>1</v>
      </c>
      <c r="R28" s="212">
        <f>O22</f>
        <v>0.04</v>
      </c>
      <c r="S28" s="57">
        <f>O23</f>
        <v>1</v>
      </c>
      <c r="T28" s="57">
        <v>1</v>
      </c>
      <c r="U28" s="138">
        <v>1</v>
      </c>
      <c r="V28" s="212">
        <f>O22</f>
        <v>0.04</v>
      </c>
      <c r="W28" s="149">
        <f>O23</f>
        <v>1</v>
      </c>
      <c r="X28" s="203">
        <v>1</v>
      </c>
    </row>
    <row r="29" spans="2:26" ht="16.2" thickBot="1">
      <c r="B29" s="26"/>
      <c r="C29" s="37"/>
      <c r="D29" s="28"/>
      <c r="E29" s="38"/>
      <c r="F29" s="37"/>
      <c r="G29" s="37"/>
      <c r="H29" s="37"/>
      <c r="I29" s="37"/>
      <c r="J29" s="37"/>
      <c r="K29" s="37"/>
      <c r="L29" s="208"/>
      <c r="N29" s="26"/>
      <c r="O29" s="37"/>
      <c r="P29" s="28"/>
      <c r="Q29" s="38"/>
      <c r="R29" s="37"/>
      <c r="S29" s="37"/>
      <c r="T29" s="37"/>
      <c r="U29" s="37"/>
      <c r="V29" s="37"/>
      <c r="W29" s="29"/>
      <c r="X29" s="30"/>
    </row>
    <row r="30" spans="2:26">
      <c r="B30" s="209"/>
    </row>
    <row r="31" spans="2:26">
      <c r="B31" s="276">
        <f>B28+C21</f>
        <v>20.186746733132033</v>
      </c>
    </row>
    <row r="32" spans="2:26" ht="24.6">
      <c r="B32" s="316" t="s">
        <v>246</v>
      </c>
      <c r="C32" s="316"/>
      <c r="D32" s="316"/>
      <c r="E32" s="316"/>
      <c r="F32" s="316"/>
      <c r="G32" s="316"/>
      <c r="H32" s="316"/>
      <c r="I32" s="316"/>
      <c r="J32" s="316"/>
      <c r="K32" s="316"/>
      <c r="L32" s="316"/>
      <c r="M32" s="316"/>
      <c r="N32" s="316"/>
      <c r="O32" s="316"/>
      <c r="P32" s="316"/>
      <c r="Q32" s="316"/>
      <c r="R32" s="316"/>
      <c r="S32" s="316"/>
      <c r="T32" s="316"/>
      <c r="U32" s="316"/>
      <c r="V32" s="316"/>
      <c r="W32" s="316"/>
      <c r="X32" s="316"/>
    </row>
    <row r="33" spans="2:21" ht="15" thickBot="1"/>
    <row r="34" spans="2:21" ht="16.2" thickBot="1">
      <c r="B34" s="309" t="s">
        <v>247</v>
      </c>
      <c r="C34" s="310"/>
      <c r="D34" s="310"/>
      <c r="E34" s="310"/>
      <c r="F34" s="310"/>
      <c r="G34" s="310"/>
      <c r="H34" s="310"/>
      <c r="I34" s="310"/>
      <c r="J34" s="310"/>
      <c r="K34" s="310"/>
      <c r="L34" s="311"/>
      <c r="N34" s="309" t="s">
        <v>248</v>
      </c>
      <c r="O34" s="310"/>
      <c r="P34" s="310"/>
      <c r="Q34" s="310"/>
      <c r="R34" s="310"/>
      <c r="S34" s="310"/>
      <c r="T34" s="310"/>
      <c r="U34" s="311"/>
    </row>
    <row r="35" spans="2:21" ht="15.6">
      <c r="B35" s="16"/>
      <c r="C35" s="17"/>
      <c r="D35" s="72"/>
      <c r="E35" s="17"/>
      <c r="F35" s="17"/>
      <c r="G35" s="17"/>
      <c r="H35" s="17"/>
      <c r="I35" s="17"/>
      <c r="J35" s="17"/>
      <c r="K35" s="17"/>
      <c r="L35" s="204"/>
      <c r="N35" s="16"/>
      <c r="O35" s="17"/>
      <c r="P35" s="72"/>
      <c r="Q35" s="17"/>
      <c r="R35" s="17"/>
      <c r="S35" s="17"/>
      <c r="T35" s="17"/>
      <c r="U35" s="204"/>
    </row>
    <row r="36" spans="2:21" ht="15.6">
      <c r="B36" s="291"/>
      <c r="C36" s="292"/>
      <c r="D36" s="74"/>
      <c r="E36" s="21"/>
      <c r="F36" s="21"/>
      <c r="G36" s="21"/>
      <c r="H36" s="21"/>
      <c r="I36" s="21"/>
      <c r="J36" s="21"/>
      <c r="K36" s="21"/>
      <c r="L36" s="205"/>
      <c r="N36" s="291"/>
      <c r="O36" s="292"/>
      <c r="P36" s="74"/>
      <c r="Q36" s="21"/>
      <c r="R36" s="21"/>
      <c r="S36" s="21"/>
      <c r="T36" s="21"/>
      <c r="U36" s="205"/>
    </row>
    <row r="37" spans="2:21" ht="15.6">
      <c r="B37" s="46" t="s">
        <v>249</v>
      </c>
      <c r="C37" s="171">
        <v>5</v>
      </c>
      <c r="D37" s="3"/>
      <c r="E37" s="45"/>
      <c r="F37" s="45"/>
      <c r="G37" s="45"/>
      <c r="H37" s="45"/>
      <c r="I37" s="45"/>
      <c r="J37" s="45"/>
      <c r="K37" s="45"/>
      <c r="L37" s="206"/>
      <c r="N37" s="46" t="s">
        <v>250</v>
      </c>
      <c r="O37" s="171">
        <v>15.19</v>
      </c>
      <c r="P37" s="3"/>
      <c r="Q37" s="45"/>
      <c r="R37" s="45"/>
      <c r="S37" s="45"/>
      <c r="T37" s="45"/>
      <c r="U37" s="206"/>
    </row>
    <row r="38" spans="2:21" ht="15.6">
      <c r="B38" s="41" t="s">
        <v>130</v>
      </c>
      <c r="C38" s="193">
        <v>0.12</v>
      </c>
      <c r="D38" s="3"/>
      <c r="E38" s="21"/>
      <c r="F38" s="21"/>
      <c r="G38" s="21"/>
      <c r="H38" s="21"/>
      <c r="I38" s="21"/>
      <c r="J38" s="21"/>
      <c r="K38" s="21"/>
      <c r="L38" s="205"/>
      <c r="N38" s="41" t="s">
        <v>219</v>
      </c>
      <c r="O38" s="215">
        <v>0.12</v>
      </c>
      <c r="P38" s="3"/>
      <c r="Q38" s="21"/>
      <c r="R38" s="21"/>
      <c r="S38" s="21"/>
      <c r="T38" s="21"/>
      <c r="U38" s="205"/>
    </row>
    <row r="39" spans="2:21" ht="15.6">
      <c r="B39" s="41" t="s">
        <v>82</v>
      </c>
      <c r="C39" s="127">
        <v>3</v>
      </c>
      <c r="E39" s="21"/>
      <c r="F39" s="21"/>
      <c r="G39" s="21"/>
      <c r="H39" s="21"/>
      <c r="I39" s="21"/>
      <c r="J39" s="21"/>
      <c r="K39" s="21"/>
      <c r="L39" s="205"/>
      <c r="N39" s="41" t="s">
        <v>50</v>
      </c>
      <c r="O39" s="58">
        <v>1</v>
      </c>
      <c r="Q39" s="21"/>
      <c r="R39" s="21"/>
      <c r="S39" s="21"/>
      <c r="T39" s="21"/>
      <c r="U39" s="205"/>
    </row>
    <row r="40" spans="2:21" ht="15.6">
      <c r="B40" s="41"/>
      <c r="C40" s="58"/>
      <c r="D40" s="3"/>
      <c r="E40" s="21"/>
      <c r="F40" s="21"/>
      <c r="G40" s="21"/>
      <c r="H40" s="21"/>
      <c r="I40" s="21"/>
      <c r="J40" s="21"/>
      <c r="K40" s="21"/>
      <c r="L40" s="205"/>
      <c r="N40" s="41"/>
      <c r="O40" s="58"/>
      <c r="P40" s="3"/>
      <c r="Q40" s="21"/>
      <c r="R40" s="21"/>
      <c r="S40" s="21"/>
      <c r="T40" s="21"/>
      <c r="U40" s="205"/>
    </row>
    <row r="41" spans="2:21" ht="15.6">
      <c r="B41" s="23"/>
      <c r="C41" s="2"/>
      <c r="D41" s="3"/>
      <c r="E41" s="2"/>
      <c r="F41" s="2"/>
      <c r="G41" s="2"/>
      <c r="H41" s="2"/>
      <c r="I41" s="2"/>
      <c r="J41" s="2"/>
      <c r="K41" s="2"/>
      <c r="L41" s="22"/>
      <c r="N41" s="23"/>
      <c r="O41" s="2"/>
      <c r="P41" s="3"/>
      <c r="Q41" s="2"/>
      <c r="R41" s="2"/>
      <c r="S41" s="2"/>
      <c r="T41" s="2"/>
      <c r="U41" s="22"/>
    </row>
    <row r="42" spans="2:21" ht="15.6">
      <c r="B42" s="166"/>
      <c r="C42" s="2"/>
      <c r="D42" s="3"/>
      <c r="E42" s="2"/>
      <c r="F42" s="2"/>
      <c r="G42" s="2"/>
      <c r="H42" s="2"/>
      <c r="I42" s="2"/>
      <c r="J42" s="2"/>
      <c r="K42" s="2"/>
      <c r="L42" s="22"/>
      <c r="N42" s="166"/>
      <c r="O42" s="2"/>
      <c r="P42" s="3"/>
      <c r="Q42" s="2"/>
      <c r="R42" s="2"/>
      <c r="S42" s="2"/>
      <c r="T42" s="2"/>
      <c r="U42" s="22"/>
    </row>
    <row r="43" spans="2:21" ht="15.6">
      <c r="B43" s="24" t="s">
        <v>251</v>
      </c>
      <c r="C43" s="25" t="s">
        <v>237</v>
      </c>
      <c r="D43" s="3" t="s">
        <v>252</v>
      </c>
      <c r="E43" s="3" t="s">
        <v>253</v>
      </c>
      <c r="F43" s="3" t="s">
        <v>232</v>
      </c>
      <c r="G43" s="3" t="s">
        <v>31</v>
      </c>
      <c r="H43" s="3" t="s">
        <v>254</v>
      </c>
      <c r="I43" s="3"/>
      <c r="J43" s="3"/>
      <c r="K43" s="3"/>
      <c r="L43" s="33"/>
      <c r="N43" s="24" t="s">
        <v>255</v>
      </c>
      <c r="O43" s="25" t="s">
        <v>39</v>
      </c>
      <c r="P43" s="3" t="s">
        <v>256</v>
      </c>
      <c r="Q43" s="3" t="s">
        <v>112</v>
      </c>
      <c r="R43" s="3" t="s">
        <v>88</v>
      </c>
      <c r="S43" s="3" t="s">
        <v>232</v>
      </c>
      <c r="T43" s="3" t="s">
        <v>31</v>
      </c>
      <c r="U43" s="33"/>
    </row>
    <row r="44" spans="2:21" ht="15.6">
      <c r="B44" s="201">
        <f>C44*((((D44+E44)^F44)-G44)/(H44))</f>
        <v>16.872000000000018</v>
      </c>
      <c r="C44" s="189">
        <f>C37</f>
        <v>5</v>
      </c>
      <c r="D44" s="189">
        <v>1</v>
      </c>
      <c r="E44" s="136">
        <f>C38</f>
        <v>0.12</v>
      </c>
      <c r="F44" s="149">
        <f>C39</f>
        <v>3</v>
      </c>
      <c r="G44" s="57">
        <v>1</v>
      </c>
      <c r="H44" s="252">
        <f>C38</f>
        <v>0.12</v>
      </c>
      <c r="I44" s="138"/>
      <c r="J44" s="138"/>
      <c r="K44" s="138"/>
      <c r="L44" s="207"/>
      <c r="N44" s="175">
        <f>O44*(P44/(((Q44+R44)^S44)-T44))</f>
        <v>15.189999999999985</v>
      </c>
      <c r="O44" s="189">
        <f>O37</f>
        <v>15.19</v>
      </c>
      <c r="P44" s="214">
        <f>O38</f>
        <v>0.12</v>
      </c>
      <c r="Q44" s="136">
        <v>1</v>
      </c>
      <c r="R44" s="214">
        <f>O38</f>
        <v>0.12</v>
      </c>
      <c r="S44" s="57">
        <f>O39</f>
        <v>1</v>
      </c>
      <c r="T44" s="138">
        <v>1</v>
      </c>
      <c r="U44" s="207"/>
    </row>
    <row r="45" spans="2:21" ht="16.2" thickBot="1">
      <c r="B45" s="26"/>
      <c r="C45" s="37"/>
      <c r="D45" s="28"/>
      <c r="E45" s="38"/>
      <c r="F45" s="37"/>
      <c r="G45" s="37"/>
      <c r="H45" s="37"/>
      <c r="I45" s="37"/>
      <c r="J45" s="37"/>
      <c r="K45" s="37"/>
      <c r="L45" s="208"/>
      <c r="N45" s="26"/>
      <c r="O45" s="37"/>
      <c r="P45" s="28"/>
      <c r="Q45" s="38"/>
      <c r="R45" s="37"/>
      <c r="S45" s="37"/>
      <c r="T45" s="37"/>
      <c r="U45" s="208"/>
    </row>
    <row r="48" spans="2:21">
      <c r="H48">
        <f>18573.42*(1+0.367480940043685%)^30</f>
        <v>20733.976675542621</v>
      </c>
    </row>
    <row r="49" spans="5:21">
      <c r="L49">
        <v>8230</v>
      </c>
      <c r="M49" s="277">
        <v>0.05</v>
      </c>
      <c r="N49" s="278">
        <f>L49*M49</f>
        <v>411.5</v>
      </c>
      <c r="O49" s="278">
        <f>N49+N50</f>
        <v>639.5</v>
      </c>
    </row>
    <row r="50" spans="5:21">
      <c r="L50">
        <v>4560</v>
      </c>
      <c r="M50" s="277">
        <v>0.05</v>
      </c>
      <c r="N50" s="278">
        <f>L50*M50</f>
        <v>228</v>
      </c>
    </row>
    <row r="51" spans="5:21">
      <c r="E51" t="s">
        <v>257</v>
      </c>
      <c r="U51" s="209">
        <f>26300*9%</f>
        <v>2367</v>
      </c>
    </row>
    <row r="54" spans="5:21">
      <c r="F54" s="209">
        <f>B44*((1+0.57%)^9)</f>
        <v>17.757532487399505</v>
      </c>
      <c r="G54">
        <v>5888.49</v>
      </c>
      <c r="H54" s="209">
        <f>F54+G54</f>
        <v>5906.2475324873994</v>
      </c>
    </row>
  </sheetData>
  <mergeCells count="14">
    <mergeCell ref="B4:L4"/>
    <mergeCell ref="B6:C6"/>
    <mergeCell ref="N4:X4"/>
    <mergeCell ref="N6:O6"/>
    <mergeCell ref="B2:X2"/>
    <mergeCell ref="B34:L34"/>
    <mergeCell ref="B36:C36"/>
    <mergeCell ref="N18:X18"/>
    <mergeCell ref="N20:O20"/>
    <mergeCell ref="N34:U34"/>
    <mergeCell ref="N36:O36"/>
    <mergeCell ref="B18:L18"/>
    <mergeCell ref="B20:C20"/>
    <mergeCell ref="B32:X3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Hoja1</vt:lpstr>
      <vt:lpstr>Interés Simple</vt:lpstr>
      <vt:lpstr>Interés Nominal Compuesta(TN)</vt:lpstr>
      <vt:lpstr>Interés Efectiva(TEP)</vt:lpstr>
      <vt:lpstr>Tasa Descontada</vt:lpstr>
      <vt:lpstr>OTROS</vt:lpstr>
      <vt:lpstr>Teoria de Rentas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u20201b510 (Saldaña Vela, Janover Gonzalo)</dc:creator>
  <cp:keywords/>
  <dc:description/>
  <cp:lastModifiedBy>u20201b510 (Saldaña Vela, Janover Gonzalo)</cp:lastModifiedBy>
  <cp:revision/>
  <dcterms:created xsi:type="dcterms:W3CDTF">2024-03-30T03:56:09Z</dcterms:created>
  <dcterms:modified xsi:type="dcterms:W3CDTF">2024-07-05T16:02:56Z</dcterms:modified>
  <cp:category/>
  <cp:contentStatus/>
</cp:coreProperties>
</file>